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Planilha2" sheetId="2" r:id="rId1"/>
    <sheet name="Pop+GDP" sheetId="3" r:id="rId2"/>
  </sheets>
  <definedNames>
    <definedName name="_xlnm._FilterDatabase" localSheetId="0" hidden="1">Planilha2!$H$5:$N$98</definedName>
    <definedName name="ExternalData_1" localSheetId="1">'Pop+GDP'!$A$1:$D$202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SIC-pc</author>
  </authors>
  <commentList>
    <comment ref="AT6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For not representing a country with a specifc, actual population, this information will be regarded is 1.</t>
        </r>
      </text>
    </comment>
    <comment ref="AT7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For not representing a country with a specifc, actual population, this information will be regarded is 1.</t>
        </r>
      </text>
    </comment>
    <comment ref="AT26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Estimativa de 2022 para frente.</t>
        </r>
      </text>
    </comment>
    <comment ref="AP31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Na aba Pop+GDP, só tem disponível a população de United Kingdom.</t>
        </r>
      </text>
    </comment>
    <comment ref="BC45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Aproximado, com base em dados de 2017.</t>
        </r>
      </text>
    </comment>
    <comment ref="AP63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Aproximado, com base em dados de 2017.</t>
        </r>
      </text>
    </comment>
    <comment ref="BC93" authorId="0">
      <text>
        <r>
          <rPr>
            <b/>
            <sz val="9"/>
            <rFont val="Arial"/>
            <charset val="0"/>
          </rPr>
          <t>SIC-pc:</t>
        </r>
        <r>
          <rPr>
            <sz val="9"/>
            <rFont val="Arial"/>
            <charset val="0"/>
          </rPr>
          <t xml:space="preserve">
Na aba Pop+GDP, só tem disponível a população de United Kingdom.</t>
        </r>
      </text>
    </comment>
  </commentList>
</comments>
</file>

<file path=xl/connections.xml><?xml version="1.0" encoding="utf-8"?>
<connections xmlns="http://schemas.openxmlformats.org/spreadsheetml/2006/main">
  <connection id="1" name="dictionary" type="6" background="1" refreshedVersion="2" saveData="1">
    <textPr sourceFile="C:\Users\SIC-pc\Downloads\dictionary.csv" comma="1">
      <textFields>
        <textField/>
      </textFields>
    </textPr>
  </connection>
</connections>
</file>

<file path=xl/sharedStrings.xml><?xml version="1.0" encoding="utf-8"?>
<sst xmlns="http://schemas.openxmlformats.org/spreadsheetml/2006/main" count="1164" uniqueCount="536">
  <si>
    <t>Original table</t>
  </si>
  <si>
    <t>Criterion per total medals, no matter how many golds</t>
  </si>
  <si>
    <t>Criterion: gold is worth 3 bronze and silver is worth 2 bronze</t>
  </si>
  <si>
    <t>Criterion: collective sports do not count as just one medal. Each athlete from the teams will count as a medal. In Football, for example, 11 athletes play and 11 athletes are reserves, so 22 medals will be counted.</t>
  </si>
  <si>
    <t xml:space="preserve"> </t>
  </si>
  <si>
    <t>Criterion: medal count will be discounted with the percentage of athletes who were not born in the country they represent</t>
  </si>
  <si>
    <t>Percentage of athletes with medals in relation to the population of their countries</t>
  </si>
  <si>
    <t>Same table on the left, but classified by Average</t>
  </si>
  <si>
    <t>Nações que perderiam posições</t>
  </si>
  <si>
    <t>Countries in yellow have been recalculated with this criterion.</t>
  </si>
  <si>
    <t>IN PROGRESS</t>
  </si>
  <si>
    <t>2024 Summer Olympics medal table[19][B][C]</t>
  </si>
  <si>
    <t>Rank</t>
  </si>
  <si>
    <t>NOC</t>
  </si>
  <si>
    <t>G</t>
  </si>
  <si>
    <t>S</t>
  </si>
  <si>
    <t>B</t>
  </si>
  <si>
    <t>Total</t>
  </si>
  <si>
    <t>Gold</t>
  </si>
  <si>
    <t>Silver</t>
  </si>
  <si>
    <t>Bronze</t>
  </si>
  <si>
    <t>Change</t>
  </si>
  <si>
    <t>Total athletes</t>
  </si>
  <si>
    <t>Athletes who were not born in the country</t>
  </si>
  <si>
    <t>Population</t>
  </si>
  <si>
    <t>Population per medal</t>
  </si>
  <si>
    <t>% Athletes compared to population</t>
  </si>
  <si>
    <t>Total medals</t>
  </si>
  <si>
    <t>Change in rank</t>
  </si>
  <si>
    <t>Original ranking</t>
  </si>
  <si>
    <t>Average of original ranking with current ranking</t>
  </si>
  <si>
    <t>New ranking</t>
  </si>
  <si>
    <t xml:space="preserve"> United States</t>
  </si>
  <si>
    <t xml:space="preserve"> Individual Neutral Athletes[A][B]</t>
  </si>
  <si>
    <t xml:space="preserve"> Pakistan</t>
  </si>
  <si>
    <t xml:space="preserve"> China</t>
  </si>
  <si>
    <t xml:space="preserve"> France</t>
  </si>
  <si>
    <t xml:space="preserve"> Refugee Olympic Team</t>
  </si>
  <si>
    <t xml:space="preserve"> Peru</t>
  </si>
  <si>
    <t xml:space="preserve"> Japan</t>
  </si>
  <si>
    <t xml:space="preserve"> Great Britain</t>
  </si>
  <si>
    <t xml:space="preserve"> Grenada</t>
  </si>
  <si>
    <t xml:space="preserve"> Ivory Coast</t>
  </si>
  <si>
    <t xml:space="preserve"> Australia</t>
  </si>
  <si>
    <t xml:space="preserve"> Dominica</t>
  </si>
  <si>
    <t xml:space="preserve"> Zambia</t>
  </si>
  <si>
    <t xml:space="preserve"> Netherlands</t>
  </si>
  <si>
    <t xml:space="preserve"> Saint Lucia</t>
  </si>
  <si>
    <t xml:space="preserve"> Uganda</t>
  </si>
  <si>
    <t xml:space="preserve"> New Zealand</t>
  </si>
  <si>
    <t xml:space="preserve"> Morocco</t>
  </si>
  <si>
    <t xml:space="preserve"> Italy</t>
  </si>
  <si>
    <t xml:space="preserve"> Germany</t>
  </si>
  <si>
    <t xml:space="preserve"> Bahrain</t>
  </si>
  <si>
    <t xml:space="preserve"> Jordan</t>
  </si>
  <si>
    <t xml:space="preserve"> South Korea</t>
  </si>
  <si>
    <t xml:space="preserve"> Indonesia</t>
  </si>
  <si>
    <t xml:space="preserve"> Jamaica</t>
  </si>
  <si>
    <t xml:space="preserve"> Malaysia</t>
  </si>
  <si>
    <t xml:space="preserve"> Spain</t>
  </si>
  <si>
    <t xml:space="preserve"> Singapore</t>
  </si>
  <si>
    <t xml:space="preserve"> Canada</t>
  </si>
  <si>
    <t xml:space="preserve"> Brazil</t>
  </si>
  <si>
    <t xml:space="preserve"> Hungary</t>
  </si>
  <si>
    <t xml:space="preserve"> Egypt</t>
  </si>
  <si>
    <t xml:space="preserve"> Cape Verde</t>
  </si>
  <si>
    <t xml:space="preserve"> Slovakia</t>
  </si>
  <si>
    <t xml:space="preserve"> Uzbekistan</t>
  </si>
  <si>
    <t xml:space="preserve"> Georgia</t>
  </si>
  <si>
    <t xml:space="preserve"> Panama</t>
  </si>
  <si>
    <t xml:space="preserve"> Croatia</t>
  </si>
  <si>
    <t xml:space="preserve"> Chile</t>
  </si>
  <si>
    <t xml:space="preserve"> Denmark</t>
  </si>
  <si>
    <t xml:space="preserve"> Philippines</t>
  </si>
  <si>
    <t xml:space="preserve"> Sweden</t>
  </si>
  <si>
    <t xml:space="preserve"> Norway</t>
  </si>
  <si>
    <t xml:space="preserve"> Guatemala</t>
  </si>
  <si>
    <t xml:space="preserve"> Kenya</t>
  </si>
  <si>
    <t xml:space="preserve"> Iran</t>
  </si>
  <si>
    <t xml:space="preserve"> Ireland</t>
  </si>
  <si>
    <t xml:space="preserve"> Argentina</t>
  </si>
  <si>
    <t xml:space="preserve"> Ukraine</t>
  </si>
  <si>
    <t xml:space="preserve"> Slovenia</t>
  </si>
  <si>
    <t xml:space="preserve"> Ethiopia</t>
  </si>
  <si>
    <t xml:space="preserve"> Lithuania</t>
  </si>
  <si>
    <t xml:space="preserve"> Mongolia</t>
  </si>
  <si>
    <t xml:space="preserve"> Armenia</t>
  </si>
  <si>
    <t xml:space="preserve"> Algeria</t>
  </si>
  <si>
    <t xml:space="preserve"> Belgium</t>
  </si>
  <si>
    <t xml:space="preserve"> Romania‡</t>
  </si>
  <si>
    <t xml:space="preserve"> Kosovo</t>
  </si>
  <si>
    <t xml:space="preserve"> Mexico</t>
  </si>
  <si>
    <t xml:space="preserve"> Poland</t>
  </si>
  <si>
    <t xml:space="preserve"> Moldova</t>
  </si>
  <si>
    <t xml:space="preserve"> India</t>
  </si>
  <si>
    <t xml:space="preserve"> Colombia</t>
  </si>
  <si>
    <t xml:space="preserve"> Fiji</t>
  </si>
  <si>
    <t xml:space="preserve"> Qatar</t>
  </si>
  <si>
    <t xml:space="preserve"> Cuba</t>
  </si>
  <si>
    <t xml:space="preserve"> Kyrgyzstan</t>
  </si>
  <si>
    <t xml:space="preserve"> Tunisia</t>
  </si>
  <si>
    <t xml:space="preserve"> Bulgaria</t>
  </si>
  <si>
    <t xml:space="preserve"> Dominican Republic</t>
  </si>
  <si>
    <t xml:space="preserve"> Serbia</t>
  </si>
  <si>
    <t xml:space="preserve"> Switzerland</t>
  </si>
  <si>
    <t xml:space="preserve"> Thailand</t>
  </si>
  <si>
    <t xml:space="preserve"> Czech Republic</t>
  </si>
  <si>
    <t xml:space="preserve"> Greece</t>
  </si>
  <si>
    <t xml:space="preserve"> Puerto Rico</t>
  </si>
  <si>
    <t xml:space="preserve"> Turkey</t>
  </si>
  <si>
    <t xml:space="preserve"> Tajikistan</t>
  </si>
  <si>
    <t xml:space="preserve"> Azerbaijan</t>
  </si>
  <si>
    <t xml:space="preserve"> Israel</t>
  </si>
  <si>
    <t xml:space="preserve"> Cyprus</t>
  </si>
  <si>
    <t xml:space="preserve"> Botswana</t>
  </si>
  <si>
    <t xml:space="preserve"> South Africa</t>
  </si>
  <si>
    <t xml:space="preserve"> Albania</t>
  </si>
  <si>
    <t xml:space="preserve"> Portugal</t>
  </si>
  <si>
    <t xml:space="preserve"> Kazakhstan</t>
  </si>
  <si>
    <t xml:space="preserve"> Chinese Taipei</t>
  </si>
  <si>
    <t xml:space="preserve"> Ecuador</t>
  </si>
  <si>
    <t xml:space="preserve"> Austria</t>
  </si>
  <si>
    <t xml:space="preserve"> North Korea</t>
  </si>
  <si>
    <t xml:space="preserve"> Hong Kong</t>
  </si>
  <si>
    <t>–</t>
  </si>
  <si>
    <t>(sem alteração daqui para frente)</t>
  </si>
  <si>
    <t>Totals (91 entries)</t>
  </si>
  <si>
    <t>Fonte:</t>
  </si>
  <si>
    <t>https://en.wikipedia.org/wiki/2024_Summer_Olympics_medal_table</t>
  </si>
  <si>
    <t>https://en.wikipedia.org/wiki/List_of_2024_Summer_Olympics_medal_winners</t>
  </si>
  <si>
    <t>Country</t>
  </si>
  <si>
    <t>Code</t>
  </si>
  <si>
    <t>GDP per Capita</t>
  </si>
  <si>
    <t>Afghanistan</t>
  </si>
  <si>
    <t>AFG</t>
  </si>
  <si>
    <t>Albania</t>
  </si>
  <si>
    <t>ALB</t>
  </si>
  <si>
    <t>Algeria</t>
  </si>
  <si>
    <t>ALG</t>
  </si>
  <si>
    <t>American Samoa*</t>
  </si>
  <si>
    <t>ASA</t>
  </si>
  <si>
    <t>Andorra</t>
  </si>
  <si>
    <t>AND</t>
  </si>
  <si>
    <t>Angola</t>
  </si>
  <si>
    <t>ANG</t>
  </si>
  <si>
    <t>Antigua and Barbuda</t>
  </si>
  <si>
    <t>ANT</t>
  </si>
  <si>
    <t>Argentina</t>
  </si>
  <si>
    <t>ARG</t>
  </si>
  <si>
    <t>Armenia</t>
  </si>
  <si>
    <t>ARM</t>
  </si>
  <si>
    <t>Aruba*</t>
  </si>
  <si>
    <t>ARU</t>
  </si>
  <si>
    <t>Australia</t>
  </si>
  <si>
    <t>AUS</t>
  </si>
  <si>
    <t>Austria</t>
  </si>
  <si>
    <t>AUT</t>
  </si>
  <si>
    <t>Azerbaijan</t>
  </si>
  <si>
    <t>AZE</t>
  </si>
  <si>
    <t>Bahamas</t>
  </si>
  <si>
    <t>BAH</t>
  </si>
  <si>
    <t>Bahrain</t>
  </si>
  <si>
    <t>BRN</t>
  </si>
  <si>
    <t>Bangladesh</t>
  </si>
  <si>
    <t>BAN</t>
  </si>
  <si>
    <t>Barbados</t>
  </si>
  <si>
    <t>BAR</t>
  </si>
  <si>
    <t>Belarus</t>
  </si>
  <si>
    <t>BLR</t>
  </si>
  <si>
    <t>Belgium</t>
  </si>
  <si>
    <t>BEL</t>
  </si>
  <si>
    <t>Belize</t>
  </si>
  <si>
    <t>BIZ</t>
  </si>
  <si>
    <t>Bermuda*</t>
  </si>
  <si>
    <t>BER</t>
  </si>
  <si>
    <t>Benin</t>
  </si>
  <si>
    <t>BEN</t>
  </si>
  <si>
    <t>Bhutan</t>
  </si>
  <si>
    <t>BHU</t>
  </si>
  <si>
    <t>Bolivia</t>
  </si>
  <si>
    <t>BOL</t>
  </si>
  <si>
    <t>Bosnia and Herzegovina</t>
  </si>
  <si>
    <t>BIH</t>
  </si>
  <si>
    <t>Botswana</t>
  </si>
  <si>
    <t>BOT</t>
  </si>
  <si>
    <t>Brazil</t>
  </si>
  <si>
    <t>BRA</t>
  </si>
  <si>
    <t>British Virgin Islands</t>
  </si>
  <si>
    <t>IVB</t>
  </si>
  <si>
    <t>Brunei</t>
  </si>
  <si>
    <t>BRU</t>
  </si>
  <si>
    <t>Bulgaria</t>
  </si>
  <si>
    <t>BUL</t>
  </si>
  <si>
    <t>Burkina Faso</t>
  </si>
  <si>
    <t>BUR</t>
  </si>
  <si>
    <t>Burundi</t>
  </si>
  <si>
    <t>BDI</t>
  </si>
  <si>
    <t>Cambodia</t>
  </si>
  <si>
    <t>CAM</t>
  </si>
  <si>
    <t>Cameroon</t>
  </si>
  <si>
    <t>CMR</t>
  </si>
  <si>
    <t>Canada</t>
  </si>
  <si>
    <t>CAN</t>
  </si>
  <si>
    <t>Cape Verde</t>
  </si>
  <si>
    <t>CPV</t>
  </si>
  <si>
    <t>Cayman Islands*</t>
  </si>
  <si>
    <t>CAY</t>
  </si>
  <si>
    <t>Central African Republic</t>
  </si>
  <si>
    <t>CAF</t>
  </si>
  <si>
    <t>Chad</t>
  </si>
  <si>
    <t>CHA</t>
  </si>
  <si>
    <t>Chile</t>
  </si>
  <si>
    <t>CHI</t>
  </si>
  <si>
    <t>China</t>
  </si>
  <si>
    <t>CHN</t>
  </si>
  <si>
    <t>Colombia</t>
  </si>
  <si>
    <t>COL</t>
  </si>
  <si>
    <t>Comoros</t>
  </si>
  <si>
    <t>COM</t>
  </si>
  <si>
    <t>Congo</t>
  </si>
  <si>
    <t>CGO</t>
  </si>
  <si>
    <t>Congo, Dem Rep</t>
  </si>
  <si>
    <t>COD</t>
  </si>
  <si>
    <t>Cook Islands</t>
  </si>
  <si>
    <t>COK</t>
  </si>
  <si>
    <t>Costa Rica</t>
  </si>
  <si>
    <t>CRC</t>
  </si>
  <si>
    <t>Cote d'Ivoire</t>
  </si>
  <si>
    <t>CIV</t>
  </si>
  <si>
    <t>Croatia</t>
  </si>
  <si>
    <t>CRO</t>
  </si>
  <si>
    <t>Cuba</t>
  </si>
  <si>
    <t>CUB</t>
  </si>
  <si>
    <t>Cyprus</t>
  </si>
  <si>
    <t>CYP</t>
  </si>
  <si>
    <t>Czech Republic</t>
  </si>
  <si>
    <t>CZE</t>
  </si>
  <si>
    <t>Denmark</t>
  </si>
  <si>
    <t>DEN</t>
  </si>
  <si>
    <t>Djibouti</t>
  </si>
  <si>
    <t>DJI</t>
  </si>
  <si>
    <t>Dominica</t>
  </si>
  <si>
    <t>DMA</t>
  </si>
  <si>
    <t>Dominican Republic</t>
  </si>
  <si>
    <t>DOM</t>
  </si>
  <si>
    <t>East Timor (Timor-Leste)</t>
  </si>
  <si>
    <t>TLS</t>
  </si>
  <si>
    <t>Ecuador</t>
  </si>
  <si>
    <t>ECU</t>
  </si>
  <si>
    <t>Egypt</t>
  </si>
  <si>
    <t>EGY</t>
  </si>
  <si>
    <t>El Salvador</t>
  </si>
  <si>
    <t>ESA</t>
  </si>
  <si>
    <t>Equatorial Guinea</t>
  </si>
  <si>
    <t>GEQ</t>
  </si>
  <si>
    <t>Eritrea</t>
  </si>
  <si>
    <t>ERI</t>
  </si>
  <si>
    <t>Estonia</t>
  </si>
  <si>
    <t>EST</t>
  </si>
  <si>
    <t>Ethiopia</t>
  </si>
  <si>
    <t>ETH</t>
  </si>
  <si>
    <t>Fiji</t>
  </si>
  <si>
    <t>FIJ</t>
  </si>
  <si>
    <t>Finland</t>
  </si>
  <si>
    <t>FIN</t>
  </si>
  <si>
    <t>France</t>
  </si>
  <si>
    <t>FRA</t>
  </si>
  <si>
    <t>Gabon</t>
  </si>
  <si>
    <t>GAB</t>
  </si>
  <si>
    <t>Gambia</t>
  </si>
  <si>
    <t>GAM</t>
  </si>
  <si>
    <t>Georgia</t>
  </si>
  <si>
    <t>GEO</t>
  </si>
  <si>
    <t>Germany</t>
  </si>
  <si>
    <t>GER</t>
  </si>
  <si>
    <t>Ghana</t>
  </si>
  <si>
    <t>GHA</t>
  </si>
  <si>
    <t>Greece</t>
  </si>
  <si>
    <t>GRE</t>
  </si>
  <si>
    <t>Grenada</t>
  </si>
  <si>
    <t>GRN</t>
  </si>
  <si>
    <t>Guam</t>
  </si>
  <si>
    <t>GUM</t>
  </si>
  <si>
    <t>Guatemala</t>
  </si>
  <si>
    <t>GUA</t>
  </si>
  <si>
    <t>Guinea</t>
  </si>
  <si>
    <t>GUI</t>
  </si>
  <si>
    <t>Guinea-Bissau</t>
  </si>
  <si>
    <t>GBS</t>
  </si>
  <si>
    <t>Guyana</t>
  </si>
  <si>
    <t>GUY</t>
  </si>
  <si>
    <t>Haiti</t>
  </si>
  <si>
    <t>HAI</t>
  </si>
  <si>
    <t>Honduras</t>
  </si>
  <si>
    <t>HON</t>
  </si>
  <si>
    <t>Hong Kong*</t>
  </si>
  <si>
    <t>HKG</t>
  </si>
  <si>
    <t>Hungary</t>
  </si>
  <si>
    <t>HUN</t>
  </si>
  <si>
    <t>Iceland</t>
  </si>
  <si>
    <t>ISL</t>
  </si>
  <si>
    <t>India</t>
  </si>
  <si>
    <t>IND</t>
  </si>
  <si>
    <t>Indonesia</t>
  </si>
  <si>
    <t>INA</t>
  </si>
  <si>
    <t>Iran</t>
  </si>
  <si>
    <t>IRI</t>
  </si>
  <si>
    <t>Iraq</t>
  </si>
  <si>
    <t>IRQ</t>
  </si>
  <si>
    <t>Ireland</t>
  </si>
  <si>
    <t>IRL</t>
  </si>
  <si>
    <t>Israel</t>
  </si>
  <si>
    <t>ISR</t>
  </si>
  <si>
    <t>Italy</t>
  </si>
  <si>
    <t>ITA</t>
  </si>
  <si>
    <t>Jamaica</t>
  </si>
  <si>
    <t>JAM</t>
  </si>
  <si>
    <t>Japan</t>
  </si>
  <si>
    <t>JPN</t>
  </si>
  <si>
    <t>Jordan</t>
  </si>
  <si>
    <t>JOR</t>
  </si>
  <si>
    <t>Kazakhstan</t>
  </si>
  <si>
    <t>KAZ</t>
  </si>
  <si>
    <t>Kenya</t>
  </si>
  <si>
    <t>KEN</t>
  </si>
  <si>
    <t>Korea, North</t>
  </si>
  <si>
    <t>PRK</t>
  </si>
  <si>
    <t>Korea, South</t>
  </si>
  <si>
    <t>KOR</t>
  </si>
  <si>
    <t>Kuwait</t>
  </si>
  <si>
    <t>KUW</t>
  </si>
  <si>
    <t>Kyrgyzstan</t>
  </si>
  <si>
    <t>KGZ</t>
  </si>
  <si>
    <t>Laos</t>
  </si>
  <si>
    <t>LAO</t>
  </si>
  <si>
    <t>Latvia</t>
  </si>
  <si>
    <t>LAT</t>
  </si>
  <si>
    <t>Lebanon</t>
  </si>
  <si>
    <t>LIB</t>
  </si>
  <si>
    <t>Lesotho</t>
  </si>
  <si>
    <t>LES</t>
  </si>
  <si>
    <t>Liberia</t>
  </si>
  <si>
    <t>LBR</t>
  </si>
  <si>
    <t>Libya</t>
  </si>
  <si>
    <t>LBA</t>
  </si>
  <si>
    <t>Liechtenstein</t>
  </si>
  <si>
    <t>LIE</t>
  </si>
  <si>
    <t>Lithuania</t>
  </si>
  <si>
    <t>LTU</t>
  </si>
  <si>
    <t>Luxembourg</t>
  </si>
  <si>
    <t>LUX</t>
  </si>
  <si>
    <t>Macedonia</t>
  </si>
  <si>
    <t>MKD</t>
  </si>
  <si>
    <t>Madagascar</t>
  </si>
  <si>
    <t>MAD</t>
  </si>
  <si>
    <t>Malawi</t>
  </si>
  <si>
    <t>MAW</t>
  </si>
  <si>
    <t>Malaysia</t>
  </si>
  <si>
    <t>MAS</t>
  </si>
  <si>
    <t>Maldives</t>
  </si>
  <si>
    <t>MDV</t>
  </si>
  <si>
    <t>Mali</t>
  </si>
  <si>
    <t>MLI</t>
  </si>
  <si>
    <t>Malta</t>
  </si>
  <si>
    <t>MLT</t>
  </si>
  <si>
    <t>Mauritania</t>
  </si>
  <si>
    <t>MTN</t>
  </si>
  <si>
    <t>Mauritius</t>
  </si>
  <si>
    <t>MRI</t>
  </si>
  <si>
    <t>Mexico</t>
  </si>
  <si>
    <t>MEX</t>
  </si>
  <si>
    <t>Micronesia</t>
  </si>
  <si>
    <t>FSM</t>
  </si>
  <si>
    <t>Moldova</t>
  </si>
  <si>
    <t>MDA</t>
  </si>
  <si>
    <t>Monaco</t>
  </si>
  <si>
    <t>MON</t>
  </si>
  <si>
    <t>Mongolia</t>
  </si>
  <si>
    <t>MGL</t>
  </si>
  <si>
    <t>Morocco</t>
  </si>
  <si>
    <t>MAR</t>
  </si>
  <si>
    <t>Mozambique</t>
  </si>
  <si>
    <t>MOZ</t>
  </si>
  <si>
    <t>Burma</t>
  </si>
  <si>
    <t>MYA</t>
  </si>
  <si>
    <t>Namibia</t>
  </si>
  <si>
    <t>NAM</t>
  </si>
  <si>
    <t>Nauru</t>
  </si>
  <si>
    <t>NRU</t>
  </si>
  <si>
    <t>Nepal</t>
  </si>
  <si>
    <t>NEP</t>
  </si>
  <si>
    <t>Netherlands</t>
  </si>
  <si>
    <t>NED</t>
  </si>
  <si>
    <t>Netherlands Antilles*</t>
  </si>
  <si>
    <t>AHO</t>
  </si>
  <si>
    <t>New Zealand</t>
  </si>
  <si>
    <t>NZL</t>
  </si>
  <si>
    <t>Nicaragua</t>
  </si>
  <si>
    <t>NCA</t>
  </si>
  <si>
    <t>Niger</t>
  </si>
  <si>
    <t>NIG</t>
  </si>
  <si>
    <t>Nigeria</t>
  </si>
  <si>
    <t>NGR</t>
  </si>
  <si>
    <t>Norway</t>
  </si>
  <si>
    <t>NOR</t>
  </si>
  <si>
    <t>Oman</t>
  </si>
  <si>
    <t>OMA</t>
  </si>
  <si>
    <t>Pakistan</t>
  </si>
  <si>
    <t>PAK</t>
  </si>
  <si>
    <t>Palau</t>
  </si>
  <si>
    <t>PLW</t>
  </si>
  <si>
    <t>Palestine, Occupied Territories</t>
  </si>
  <si>
    <t>PLE</t>
  </si>
  <si>
    <t>Panama</t>
  </si>
  <si>
    <t>PAN</t>
  </si>
  <si>
    <t>Papua New Guinea</t>
  </si>
  <si>
    <t>PNG</t>
  </si>
  <si>
    <t>Paraguay</t>
  </si>
  <si>
    <t>PAR</t>
  </si>
  <si>
    <t>Peru</t>
  </si>
  <si>
    <t>PER</t>
  </si>
  <si>
    <t>Philippines</t>
  </si>
  <si>
    <t>PHI</t>
  </si>
  <si>
    <t>Poland</t>
  </si>
  <si>
    <t>POL</t>
  </si>
  <si>
    <t>Portugal</t>
  </si>
  <si>
    <t>POR</t>
  </si>
  <si>
    <t>Puerto Rico*</t>
  </si>
  <si>
    <t>PUR</t>
  </si>
  <si>
    <t>Qatar</t>
  </si>
  <si>
    <t>QAT</t>
  </si>
  <si>
    <t>Romania</t>
  </si>
  <si>
    <t>ROM</t>
  </si>
  <si>
    <t>Russia</t>
  </si>
  <si>
    <t>RUS</t>
  </si>
  <si>
    <t>Rwanda</t>
  </si>
  <si>
    <t>RWA</t>
  </si>
  <si>
    <t>Saint Kitts and Nevis</t>
  </si>
  <si>
    <t>SKN</t>
  </si>
  <si>
    <t>Saint Lucia</t>
  </si>
  <si>
    <t>LCA</t>
  </si>
  <si>
    <t>Saint Vincent and the Grenadines</t>
  </si>
  <si>
    <t>VIN</t>
  </si>
  <si>
    <t>Samoa</t>
  </si>
  <si>
    <t>SAM</t>
  </si>
  <si>
    <t>San Marino</t>
  </si>
  <si>
    <t>SMR</t>
  </si>
  <si>
    <t>Sao Tome and Principe</t>
  </si>
  <si>
    <t>STP</t>
  </si>
  <si>
    <t>Saudi Arabia</t>
  </si>
  <si>
    <t>KSA</t>
  </si>
  <si>
    <t>Senegal</t>
  </si>
  <si>
    <t>SEN</t>
  </si>
  <si>
    <t>Serbia</t>
  </si>
  <si>
    <t>SCG</t>
  </si>
  <si>
    <t>Seychelles</t>
  </si>
  <si>
    <t>SEY</t>
  </si>
  <si>
    <t>Sierra Leone</t>
  </si>
  <si>
    <t>SLE</t>
  </si>
  <si>
    <t>Singapore</t>
  </si>
  <si>
    <t>SIN</t>
  </si>
  <si>
    <t>Slovakia</t>
  </si>
  <si>
    <t>SVK</t>
  </si>
  <si>
    <t>Slovenia</t>
  </si>
  <si>
    <t>SLO</t>
  </si>
  <si>
    <t>Solomon Islands</t>
  </si>
  <si>
    <t>SOL</t>
  </si>
  <si>
    <t>Somalia</t>
  </si>
  <si>
    <t>SOM</t>
  </si>
  <si>
    <t>South Africa</t>
  </si>
  <si>
    <t>RSA</t>
  </si>
  <si>
    <t>Spain</t>
  </si>
  <si>
    <t>ESP</t>
  </si>
  <si>
    <t>Sri Lanka</t>
  </si>
  <si>
    <t>SRI</t>
  </si>
  <si>
    <t>Sudan</t>
  </si>
  <si>
    <t>SUD</t>
  </si>
  <si>
    <t>Suriname</t>
  </si>
  <si>
    <t>SUR</t>
  </si>
  <si>
    <t>Swaziland</t>
  </si>
  <si>
    <t>SWZ</t>
  </si>
  <si>
    <t>Sweden</t>
  </si>
  <si>
    <t>SWE</t>
  </si>
  <si>
    <t>Switzerland</t>
  </si>
  <si>
    <t>SUI</t>
  </si>
  <si>
    <t>Syria</t>
  </si>
  <si>
    <t>SYR</t>
  </si>
  <si>
    <t>Taiwan</t>
  </si>
  <si>
    <t>TPE</t>
  </si>
  <si>
    <t>Tajikistan</t>
  </si>
  <si>
    <t>TJK</t>
  </si>
  <si>
    <t>Tanzania</t>
  </si>
  <si>
    <t>TAN</t>
  </si>
  <si>
    <t>Thailand</t>
  </si>
  <si>
    <t>THA</t>
  </si>
  <si>
    <t>Togo</t>
  </si>
  <si>
    <t>TOG</t>
  </si>
  <si>
    <t>Tonga</t>
  </si>
  <si>
    <t>TGA</t>
  </si>
  <si>
    <t>Trinidad and Tobago</t>
  </si>
  <si>
    <t>TRI</t>
  </si>
  <si>
    <t>Tunisia</t>
  </si>
  <si>
    <t>TUN</t>
  </si>
  <si>
    <t>Turkey</t>
  </si>
  <si>
    <t>TUR</t>
  </si>
  <si>
    <t>Turkmenistan</t>
  </si>
  <si>
    <t>TKM</t>
  </si>
  <si>
    <t>Uganda</t>
  </si>
  <si>
    <t>UGA</t>
  </si>
  <si>
    <t>Ukraine</t>
  </si>
  <si>
    <t>UKR</t>
  </si>
  <si>
    <t>United Arab Emirates</t>
  </si>
  <si>
    <t>UAE</t>
  </si>
  <si>
    <t>United Kingdom</t>
  </si>
  <si>
    <t>GBR</t>
  </si>
  <si>
    <t>United States</t>
  </si>
  <si>
    <t>USA</t>
  </si>
  <si>
    <t>Uruguay</t>
  </si>
  <si>
    <t>URU</t>
  </si>
  <si>
    <t>Uzbekistan</t>
  </si>
  <si>
    <t>UZB</t>
  </si>
  <si>
    <t>Vanuatu</t>
  </si>
  <si>
    <t>VAN</t>
  </si>
  <si>
    <t>Venezuela</t>
  </si>
  <si>
    <t>VEN</t>
  </si>
  <si>
    <t>Vietnam</t>
  </si>
  <si>
    <t>VIE</t>
  </si>
  <si>
    <t>Virgin Islands*</t>
  </si>
  <si>
    <t>ISV</t>
  </si>
  <si>
    <t>Yemen</t>
  </si>
  <si>
    <t>YEM</t>
  </si>
  <si>
    <t>Zambia</t>
  </si>
  <si>
    <t>ZAM</t>
  </si>
  <si>
    <t>Zimbabwe</t>
  </si>
  <si>
    <t>ZIM</t>
  </si>
  <si>
    <t>Olympic Sports and Medals, 1896-2014 (kaggle.com)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</si>
</sst>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* #,##0_-;\-* #,##0_-;_-* &quot;-&quot;??_-;_-@_-"/>
    <numFmt numFmtId="181" formatCode="_-* #,##0.000000_-;\-* #,##0.000000_-;_-* &quot;-&quot;??.000000_-;_-@_-"/>
    <numFmt numFmtId="182" formatCode="_-* #,##0.0000000_-;\-* #,##0.0000000_-;_-* &quot;-&quot;??.0000000_-;_-@_-"/>
  </numFmts>
  <fonts count="23"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Arial"/>
      <charset val="0"/>
    </font>
    <font>
      <sz val="9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3" fontId="0" fillId="0" borderId="0" xfId="0" applyNumberFormat="1">
      <alignment vertical="center"/>
    </xf>
    <xf numFmtId="176" fontId="0" fillId="0" borderId="0" xfId="1">
      <alignment vertical="center"/>
    </xf>
    <xf numFmtId="180" fontId="0" fillId="0" borderId="0" xfId="1" applyNumberFormat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NumberFormat="1">
      <alignment vertical="center"/>
    </xf>
    <xf numFmtId="0" fontId="0" fillId="3" borderId="0" xfId="0" applyFill="1">
      <alignment vertical="center"/>
    </xf>
    <xf numFmtId="176" fontId="1" fillId="0" borderId="0" xfId="1" applyFont="1">
      <alignment vertical="center"/>
    </xf>
    <xf numFmtId="181" fontId="0" fillId="0" borderId="0" xfId="1" applyNumberFormat="1">
      <alignment vertical="center"/>
    </xf>
    <xf numFmtId="0" fontId="2" fillId="0" borderId="0" xfId="6">
      <alignment vertical="center"/>
    </xf>
    <xf numFmtId="0" fontId="3" fillId="0" borderId="0" xfId="6" applyFont="1">
      <alignment vertical="center"/>
    </xf>
    <xf numFmtId="182" fontId="0" fillId="0" borderId="0" xfId="1" applyNumberFormat="1">
      <alignment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23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{267968C8-6FFD-4C36-ACC1-9EA1FD1885CA}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en.wikipedia.org/wiki/List_of_2024_Summer_Olympics_medal_winners" TargetMode="External"/><Relationship Id="rId3" Type="http://schemas.openxmlformats.org/officeDocument/2006/relationships/hyperlink" Target="https://en.wikipedia.org/wiki/2024_Summer_Olympics_medal_table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hyperlink" Target="https://www.kaggle.com/datasets/the-guardian/olympic-ga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102"/>
  <sheetViews>
    <sheetView tabSelected="1" zoomScale="120" zoomScaleNormal="120" workbookViewId="0">
      <pane xSplit="6" topLeftCell="AO1" activePane="topRight" state="frozen"/>
      <selection/>
      <selection pane="topRight" activeCell="BE1" sqref="BE1"/>
    </sheetView>
  </sheetViews>
  <sheetFormatPr defaultColWidth="9.14285714285714" defaultRowHeight="12.75"/>
  <cols>
    <col min="1" max="1" width="4.63809523809524" customWidth="1"/>
    <col min="3" max="5" width="4.57142857142857" customWidth="1"/>
    <col min="6" max="6" width="6.57142857142857" customWidth="1"/>
    <col min="7" max="7" width="5.71428571428571" customWidth="1"/>
    <col min="8" max="8" width="6.71428571428571" customWidth="1"/>
    <col min="9" max="9" width="14.2857142857143" customWidth="1"/>
    <col min="10" max="10" width="5.28571428571429" customWidth="1"/>
    <col min="11" max="11" width="6" customWidth="1"/>
    <col min="12" max="12" width="6.85714285714286" customWidth="1"/>
    <col min="13" max="13" width="5.57142857142857" customWidth="1"/>
    <col min="14" max="14" width="7.28571428571429" customWidth="1"/>
    <col min="15" max="15" width="4.03809523809524" customWidth="1"/>
    <col min="16" max="16" width="4.16190476190476" customWidth="1"/>
    <col min="18" max="18" width="5.28571428571429" customWidth="1"/>
    <col min="19" max="20" width="4.52380952380952" customWidth="1"/>
    <col min="21" max="21" width="5.57142857142857" customWidth="1"/>
    <col min="22" max="22" width="4.99047619047619" customWidth="1"/>
    <col min="23" max="23" width="6.06666666666667" customWidth="1"/>
    <col min="24" max="24" width="4.87619047619048" customWidth="1"/>
    <col min="26" max="26" width="4.52380952380952" customWidth="1"/>
    <col min="27" max="27" width="4.16190476190476" customWidth="1"/>
    <col min="28" max="28" width="3.0952380952381" customWidth="1"/>
    <col min="29" max="29" width="4.99047619047619" customWidth="1"/>
    <col min="30" max="30" width="4.63809523809524" customWidth="1"/>
    <col min="31" max="31" width="5.22857142857143" customWidth="1"/>
    <col min="32" max="32" width="5.42857142857143" customWidth="1"/>
    <col min="34" max="34" width="3.20952380952381" customWidth="1"/>
    <col min="35" max="35" width="2.97142857142857" customWidth="1"/>
    <col min="36" max="36" width="3.32380952380952" customWidth="1"/>
    <col min="37" max="37" width="4.16190476190476" customWidth="1"/>
    <col min="38" max="38" width="5.11428571428571" customWidth="1"/>
    <col min="39" max="39" width="7.4952380952381" style="2" customWidth="1"/>
    <col min="40" max="40" width="5.59047619047619" customWidth="1"/>
    <col min="41" max="41" width="5.42857142857143" customWidth="1"/>
    <col min="43" max="43" width="2.73333333333333" customWidth="1"/>
    <col min="44" max="44" width="3.44761904761905" customWidth="1"/>
    <col min="45" max="45" width="2.97142857142857" customWidth="1"/>
    <col min="46" max="46" width="12.6190476190476" style="3" customWidth="1"/>
    <col min="47" max="47" width="13.2095238095238" style="2" customWidth="1"/>
    <col min="48" max="48" width="10.952380952381" style="2" customWidth="1"/>
    <col min="49" max="49" width="5.59047619047619" customWidth="1"/>
    <col min="50" max="50" width="5.22857142857143" customWidth="1"/>
    <col min="51" max="51" width="3.80952380952381" customWidth="1"/>
    <col min="52" max="52" width="4.87619047619048" customWidth="1"/>
    <col min="53" max="54" width="5.11428571428571" customWidth="1"/>
  </cols>
  <sheetData>
    <row r="1" spans="1:54">
      <c r="A1" s="4" t="s">
        <v>0</v>
      </c>
      <c r="H1" s="4" t="s">
        <v>1</v>
      </c>
      <c r="P1" s="4" t="s">
        <v>2</v>
      </c>
      <c r="X1" s="4" t="s">
        <v>3</v>
      </c>
      <c r="AE1" t="s">
        <v>4</v>
      </c>
      <c r="AF1" s="4" t="s">
        <v>5</v>
      </c>
      <c r="AN1" t="s">
        <v>4</v>
      </c>
      <c r="AO1" s="4" t="s">
        <v>6</v>
      </c>
      <c r="BB1" s="4" t="s">
        <v>7</v>
      </c>
    </row>
    <row r="2" spans="8:32">
      <c r="H2" t="s">
        <v>8</v>
      </c>
      <c r="I2" s="4">
        <v>51</v>
      </c>
      <c r="X2" t="s">
        <v>9</v>
      </c>
      <c r="AE2" t="s">
        <v>4</v>
      </c>
      <c r="AF2" t="s">
        <v>10</v>
      </c>
    </row>
    <row r="4" spans="1:55">
      <c r="A4" s="4" t="s">
        <v>11</v>
      </c>
      <c r="B4" s="4"/>
      <c r="C4" s="4"/>
      <c r="D4" s="4"/>
      <c r="E4" s="4"/>
      <c r="F4" s="4"/>
      <c r="H4" s="4" t="s">
        <v>11</v>
      </c>
      <c r="I4" s="4"/>
      <c r="J4" s="4"/>
      <c r="K4" s="4"/>
      <c r="L4" s="4"/>
      <c r="M4" s="4"/>
      <c r="P4" s="4" t="s">
        <v>11</v>
      </c>
      <c r="Q4" s="4"/>
      <c r="R4" s="4"/>
      <c r="S4" s="4"/>
      <c r="T4" s="4"/>
      <c r="U4" s="4"/>
      <c r="X4" s="4" t="s">
        <v>11</v>
      </c>
      <c r="Y4" s="4"/>
      <c r="Z4" s="4"/>
      <c r="AA4" s="4"/>
      <c r="AB4" s="4"/>
      <c r="AC4" s="4"/>
      <c r="AF4" s="4" t="s">
        <v>11</v>
      </c>
      <c r="AG4" s="4"/>
      <c r="AH4" s="4"/>
      <c r="AI4" s="4"/>
      <c r="AJ4" s="4"/>
      <c r="AM4" s="8"/>
      <c r="AO4" s="4" t="s">
        <v>11</v>
      </c>
      <c r="AP4" s="4"/>
      <c r="AQ4" s="4"/>
      <c r="AR4" s="4"/>
      <c r="AS4" s="4"/>
      <c r="AW4" s="4"/>
      <c r="BB4" s="4" t="s">
        <v>11</v>
      </c>
      <c r="BC4" s="4"/>
    </row>
    <row r="5" spans="1:58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H5" t="s">
        <v>12</v>
      </c>
      <c r="I5" t="s">
        <v>13</v>
      </c>
      <c r="J5" t="s">
        <v>18</v>
      </c>
      <c r="K5" t="s">
        <v>19</v>
      </c>
      <c r="L5" t="s">
        <v>20</v>
      </c>
      <c r="M5" t="s">
        <v>17</v>
      </c>
      <c r="N5" t="s">
        <v>21</v>
      </c>
      <c r="P5" t="s">
        <v>12</v>
      </c>
      <c r="Q5" t="s">
        <v>13</v>
      </c>
      <c r="R5" t="s">
        <v>18</v>
      </c>
      <c r="S5" t="s">
        <v>19</v>
      </c>
      <c r="T5" t="s">
        <v>20</v>
      </c>
      <c r="U5" t="s">
        <v>17</v>
      </c>
      <c r="V5" t="s">
        <v>21</v>
      </c>
      <c r="W5" t="s">
        <v>4</v>
      </c>
      <c r="X5" t="s">
        <v>12</v>
      </c>
      <c r="Y5" t="s">
        <v>13</v>
      </c>
      <c r="Z5" t="s">
        <v>14</v>
      </c>
      <c r="AA5" t="s">
        <v>15</v>
      </c>
      <c r="AB5" t="s">
        <v>16</v>
      </c>
      <c r="AC5" t="s">
        <v>17</v>
      </c>
      <c r="AD5" t="s">
        <v>21</v>
      </c>
      <c r="AF5" t="s">
        <v>12</v>
      </c>
      <c r="AG5" t="s">
        <v>13</v>
      </c>
      <c r="AH5" t="s">
        <v>14</v>
      </c>
      <c r="AI5" t="s">
        <v>15</v>
      </c>
      <c r="AJ5" t="s">
        <v>16</v>
      </c>
      <c r="AK5" t="s">
        <v>22</v>
      </c>
      <c r="AL5" t="s">
        <v>23</v>
      </c>
      <c r="AM5" s="2" t="s">
        <v>17</v>
      </c>
      <c r="AO5" t="s">
        <v>12</v>
      </c>
      <c r="AP5" t="s">
        <v>13</v>
      </c>
      <c r="AQ5" t="s">
        <v>14</v>
      </c>
      <c r="AR5" t="s">
        <v>15</v>
      </c>
      <c r="AS5" t="s">
        <v>16</v>
      </c>
      <c r="AT5" s="3" t="s">
        <v>24</v>
      </c>
      <c r="AU5" s="2" t="s">
        <v>25</v>
      </c>
      <c r="AV5" s="2" t="s">
        <v>26</v>
      </c>
      <c r="AW5" t="s">
        <v>27</v>
      </c>
      <c r="AX5" t="s">
        <v>28</v>
      </c>
      <c r="AY5" t="s">
        <v>29</v>
      </c>
      <c r="AZ5" t="s">
        <v>30</v>
      </c>
      <c r="BA5" t="s">
        <v>4</v>
      </c>
      <c r="BB5" t="s">
        <v>12</v>
      </c>
      <c r="BC5" t="s">
        <v>13</v>
      </c>
      <c r="BD5" t="s">
        <v>29</v>
      </c>
      <c r="BE5" t="s">
        <v>30</v>
      </c>
      <c r="BF5" t="s">
        <v>31</v>
      </c>
    </row>
    <row r="6" spans="1:58">
      <c r="A6">
        <v>1</v>
      </c>
      <c r="B6" t="s">
        <v>32</v>
      </c>
      <c r="C6">
        <v>40</v>
      </c>
      <c r="D6">
        <v>44</v>
      </c>
      <c r="E6">
        <v>42</v>
      </c>
      <c r="F6">
        <v>126</v>
      </c>
      <c r="H6">
        <v>1</v>
      </c>
      <c r="I6" t="s">
        <v>32</v>
      </c>
      <c r="J6">
        <v>40</v>
      </c>
      <c r="K6">
        <v>44</v>
      </c>
      <c r="L6">
        <v>42</v>
      </c>
      <c r="M6">
        <v>126</v>
      </c>
      <c r="P6">
        <v>1</v>
      </c>
      <c r="Q6" t="s">
        <v>32</v>
      </c>
      <c r="R6">
        <v>40</v>
      </c>
      <c r="S6">
        <v>44</v>
      </c>
      <c r="T6">
        <v>42</v>
      </c>
      <c r="U6">
        <f t="shared" ref="U6:U69" si="0">(R6*3)+(S6*2)+T6</f>
        <v>250</v>
      </c>
      <c r="X6">
        <v>1</v>
      </c>
      <c r="Y6" s="5" t="s">
        <v>32</v>
      </c>
      <c r="Z6" s="5">
        <f>33+(1*16)+(1*24)+(1*20)+(1*5)+(1*4)+(1*2)+(1*22)</f>
        <v>126</v>
      </c>
      <c r="AA6">
        <v>44</v>
      </c>
      <c r="AB6">
        <v>42</v>
      </c>
      <c r="AC6" s="6">
        <f t="shared" ref="AC6:AC20" si="1">SUM(Z6:AB6)</f>
        <v>212</v>
      </c>
      <c r="AF6">
        <v>1</v>
      </c>
      <c r="AG6" t="s">
        <v>32</v>
      </c>
      <c r="AH6">
        <v>40</v>
      </c>
      <c r="AI6">
        <v>44</v>
      </c>
      <c r="AJ6">
        <v>42</v>
      </c>
      <c r="AL6">
        <v>592</v>
      </c>
      <c r="AM6" s="2">
        <v>126</v>
      </c>
      <c r="AO6">
        <v>1</v>
      </c>
      <c r="AP6" t="s">
        <v>33</v>
      </c>
      <c r="AQ6">
        <v>1</v>
      </c>
      <c r="AR6">
        <v>3</v>
      </c>
      <c r="AS6">
        <v>1</v>
      </c>
      <c r="AT6" s="3">
        <v>1</v>
      </c>
      <c r="AU6" s="2"/>
      <c r="AV6" s="9">
        <f>AW6*100/AT6</f>
        <v>500</v>
      </c>
      <c r="AW6">
        <v>5</v>
      </c>
      <c r="AX6">
        <f>47-1</f>
        <v>46</v>
      </c>
      <c r="AY6">
        <v>44</v>
      </c>
      <c r="AZ6">
        <f>(AY6+AO6)/2</f>
        <v>22.5</v>
      </c>
      <c r="BB6">
        <v>91</v>
      </c>
      <c r="BC6" t="s">
        <v>34</v>
      </c>
      <c r="BD6">
        <v>92</v>
      </c>
      <c r="BE6">
        <f>(BD6+BB6)/2</f>
        <v>91.5</v>
      </c>
      <c r="BF6">
        <v>1</v>
      </c>
    </row>
    <row r="7" spans="1:58">
      <c r="A7">
        <v>2</v>
      </c>
      <c r="B7" t="s">
        <v>35</v>
      </c>
      <c r="C7">
        <v>40</v>
      </c>
      <c r="D7">
        <v>27</v>
      </c>
      <c r="E7">
        <v>24</v>
      </c>
      <c r="F7">
        <v>91</v>
      </c>
      <c r="H7">
        <v>2</v>
      </c>
      <c r="I7" t="s">
        <v>35</v>
      </c>
      <c r="J7">
        <v>40</v>
      </c>
      <c r="K7">
        <v>27</v>
      </c>
      <c r="L7">
        <v>24</v>
      </c>
      <c r="M7">
        <v>91</v>
      </c>
      <c r="P7">
        <v>2</v>
      </c>
      <c r="Q7" t="s">
        <v>35</v>
      </c>
      <c r="R7">
        <v>40</v>
      </c>
      <c r="S7">
        <v>27</v>
      </c>
      <c r="T7">
        <v>24</v>
      </c>
      <c r="U7">
        <f t="shared" si="0"/>
        <v>198</v>
      </c>
      <c r="X7">
        <v>2</v>
      </c>
      <c r="Y7" s="5" t="s">
        <v>36</v>
      </c>
      <c r="Z7" s="5">
        <f>13+(1*14)+(1*13)+(1*13)</f>
        <v>53</v>
      </c>
      <c r="AA7" s="5">
        <f>20+(1*3)+(1*28)+(1*3)+(1*4)+(1*21)+(1*17)</f>
        <v>96</v>
      </c>
      <c r="AB7" s="5">
        <f>18+(1*3)+(1*8)+(1*6)+(1*3)</f>
        <v>38</v>
      </c>
      <c r="AC7" s="6">
        <f t="shared" si="1"/>
        <v>187</v>
      </c>
      <c r="AD7">
        <f>5-2</f>
        <v>3</v>
      </c>
      <c r="AF7">
        <v>2</v>
      </c>
      <c r="AG7" t="s">
        <v>35</v>
      </c>
      <c r="AH7">
        <v>40</v>
      </c>
      <c r="AI7">
        <v>27</v>
      </c>
      <c r="AJ7">
        <v>24</v>
      </c>
      <c r="AM7" s="2">
        <v>91</v>
      </c>
      <c r="AO7">
        <v>2</v>
      </c>
      <c r="AP7" t="s">
        <v>37</v>
      </c>
      <c r="AQ7">
        <v>0</v>
      </c>
      <c r="AR7">
        <v>0</v>
      </c>
      <c r="AS7">
        <v>1</v>
      </c>
      <c r="AT7" s="3">
        <v>1</v>
      </c>
      <c r="AU7" s="2"/>
      <c r="AV7" s="9">
        <f>AW7*100/AT7</f>
        <v>100</v>
      </c>
      <c r="AW7">
        <v>1</v>
      </c>
      <c r="AX7">
        <f>88-2</f>
        <v>86</v>
      </c>
      <c r="AY7">
        <v>78</v>
      </c>
      <c r="AZ7">
        <f t="shared" ref="AZ7:AZ38" si="2">(AY7+AO7)/2</f>
        <v>40</v>
      </c>
      <c r="BB7">
        <v>89</v>
      </c>
      <c r="BC7" t="s">
        <v>38</v>
      </c>
      <c r="BD7">
        <v>91</v>
      </c>
      <c r="BE7">
        <f>(BD7+BB7)/2</f>
        <v>90</v>
      </c>
      <c r="BF7">
        <v>2</v>
      </c>
    </row>
    <row r="8" spans="1:58">
      <c r="A8">
        <v>3</v>
      </c>
      <c r="B8" t="s">
        <v>39</v>
      </c>
      <c r="C8">
        <v>20</v>
      </c>
      <c r="D8">
        <v>12</v>
      </c>
      <c r="E8">
        <v>13</v>
      </c>
      <c r="F8">
        <v>45</v>
      </c>
      <c r="H8">
        <v>3</v>
      </c>
      <c r="I8" t="s">
        <v>40</v>
      </c>
      <c r="J8">
        <v>14</v>
      </c>
      <c r="K8">
        <v>22</v>
      </c>
      <c r="L8">
        <v>29</v>
      </c>
      <c r="M8">
        <v>65</v>
      </c>
      <c r="N8">
        <v>4</v>
      </c>
      <c r="P8">
        <v>3</v>
      </c>
      <c r="Q8" t="s">
        <v>36</v>
      </c>
      <c r="R8">
        <v>16</v>
      </c>
      <c r="S8">
        <v>26</v>
      </c>
      <c r="T8">
        <v>22</v>
      </c>
      <c r="U8">
        <f t="shared" si="0"/>
        <v>122</v>
      </c>
      <c r="V8">
        <f>5-3</f>
        <v>2</v>
      </c>
      <c r="X8">
        <v>3</v>
      </c>
      <c r="Y8" s="5" t="s">
        <v>35</v>
      </c>
      <c r="Z8" s="5">
        <f>33+(1*10)+(1*4)+(1*4)+(1*8)+(1*2)+(1*5)+(1*8)</f>
        <v>74</v>
      </c>
      <c r="AA8" s="5">
        <f>21+(1*3)+(1*4)+(1*17)+(1*10)+(1*6)+(1*2)</f>
        <v>63</v>
      </c>
      <c r="AB8" s="5">
        <f>22+(1*2)+(1*13)</f>
        <v>37</v>
      </c>
      <c r="AC8" s="6">
        <f t="shared" si="1"/>
        <v>174</v>
      </c>
      <c r="AD8">
        <f>3-2</f>
        <v>1</v>
      </c>
      <c r="AF8">
        <v>3</v>
      </c>
      <c r="AG8" t="s">
        <v>39</v>
      </c>
      <c r="AH8">
        <v>20</v>
      </c>
      <c r="AI8">
        <v>12</v>
      </c>
      <c r="AJ8">
        <v>13</v>
      </c>
      <c r="AM8" s="2">
        <v>45</v>
      </c>
      <c r="AO8">
        <v>3</v>
      </c>
      <c r="AP8" t="s">
        <v>41</v>
      </c>
      <c r="AQ8">
        <v>0</v>
      </c>
      <c r="AR8">
        <v>0</v>
      </c>
      <c r="AS8">
        <v>2</v>
      </c>
      <c r="AT8" s="3">
        <v>106825</v>
      </c>
      <c r="AU8" s="2"/>
      <c r="AV8" s="9">
        <f>AW8*100/AT8</f>
        <v>0.0018722209220688</v>
      </c>
      <c r="AW8">
        <v>2</v>
      </c>
      <c r="AX8">
        <f>81-3</f>
        <v>78</v>
      </c>
      <c r="AY8">
        <v>67</v>
      </c>
      <c r="AZ8">
        <f t="shared" si="2"/>
        <v>35</v>
      </c>
      <c r="BB8">
        <v>84</v>
      </c>
      <c r="BC8" t="s">
        <v>42</v>
      </c>
      <c r="BD8">
        <v>90</v>
      </c>
      <c r="BE8">
        <f>(BD8+BB8)/2</f>
        <v>87</v>
      </c>
      <c r="BF8">
        <v>3</v>
      </c>
    </row>
    <row r="9" spans="1:58">
      <c r="A9">
        <v>4</v>
      </c>
      <c r="B9" t="s">
        <v>43</v>
      </c>
      <c r="C9">
        <v>18</v>
      </c>
      <c r="D9">
        <v>19</v>
      </c>
      <c r="E9">
        <v>16</v>
      </c>
      <c r="F9">
        <v>53</v>
      </c>
      <c r="H9">
        <v>4</v>
      </c>
      <c r="I9" t="s">
        <v>36</v>
      </c>
      <c r="J9">
        <v>16</v>
      </c>
      <c r="K9">
        <v>26</v>
      </c>
      <c r="L9">
        <v>22</v>
      </c>
      <c r="M9">
        <v>64</v>
      </c>
      <c r="N9">
        <v>1</v>
      </c>
      <c r="P9">
        <v>4</v>
      </c>
      <c r="Q9" t="s">
        <v>40</v>
      </c>
      <c r="R9">
        <v>14</v>
      </c>
      <c r="S9">
        <v>22</v>
      </c>
      <c r="T9">
        <v>29</v>
      </c>
      <c r="U9">
        <f t="shared" si="0"/>
        <v>115</v>
      </c>
      <c r="V9">
        <f>7-4</f>
        <v>3</v>
      </c>
      <c r="X9">
        <v>4</v>
      </c>
      <c r="Y9" s="5" t="s">
        <v>40</v>
      </c>
      <c r="Z9" s="5">
        <f>12+(1*6)+(1*15)</f>
        <v>33</v>
      </c>
      <c r="AA9" s="5">
        <f>18+(1*2)+(1*17)+(1*8)+(1*6)</f>
        <v>51</v>
      </c>
      <c r="AB9" s="5">
        <f>24+(1*30)+(1*3)+(1*15)+(1*6)+(1*4)</f>
        <v>82</v>
      </c>
      <c r="AC9" s="6">
        <f t="shared" si="1"/>
        <v>166</v>
      </c>
      <c r="AD9">
        <f>6-4</f>
        <v>2</v>
      </c>
      <c r="AF9">
        <v>4</v>
      </c>
      <c r="AG9" t="s">
        <v>43</v>
      </c>
      <c r="AH9">
        <v>18</v>
      </c>
      <c r="AI9">
        <v>19</v>
      </c>
      <c r="AJ9">
        <v>16</v>
      </c>
      <c r="AM9" s="2">
        <v>53</v>
      </c>
      <c r="AO9">
        <v>4</v>
      </c>
      <c r="AP9" t="s">
        <v>44</v>
      </c>
      <c r="AQ9">
        <v>1</v>
      </c>
      <c r="AR9">
        <v>0</v>
      </c>
      <c r="AS9">
        <v>0</v>
      </c>
      <c r="AT9" s="3">
        <v>72680</v>
      </c>
      <c r="AU9" s="2"/>
      <c r="AV9" s="9">
        <f>AW9*100/AT9</f>
        <v>0.00137589433131536</v>
      </c>
      <c r="AW9">
        <v>1</v>
      </c>
      <c r="AX9">
        <f>62-4</f>
        <v>58</v>
      </c>
      <c r="AY9">
        <v>79</v>
      </c>
      <c r="AZ9">
        <f t="shared" si="2"/>
        <v>41.5</v>
      </c>
      <c r="BB9">
        <v>81</v>
      </c>
      <c r="BC9" t="s">
        <v>45</v>
      </c>
      <c r="BD9">
        <v>89</v>
      </c>
      <c r="BE9">
        <f>(BD9+BB9)/2</f>
        <v>85</v>
      </c>
      <c r="BF9">
        <v>4</v>
      </c>
    </row>
    <row r="10" spans="1:58">
      <c r="A10">
        <v>5</v>
      </c>
      <c r="B10" t="s">
        <v>36</v>
      </c>
      <c r="C10">
        <v>16</v>
      </c>
      <c r="D10">
        <v>26</v>
      </c>
      <c r="E10">
        <v>22</v>
      </c>
      <c r="F10">
        <v>64</v>
      </c>
      <c r="H10">
        <v>5</v>
      </c>
      <c r="I10" t="s">
        <v>43</v>
      </c>
      <c r="J10">
        <v>18</v>
      </c>
      <c r="K10">
        <v>19</v>
      </c>
      <c r="L10">
        <v>16</v>
      </c>
      <c r="M10">
        <v>53</v>
      </c>
      <c r="N10">
        <v>-1</v>
      </c>
      <c r="P10">
        <v>5</v>
      </c>
      <c r="Q10" t="s">
        <v>43</v>
      </c>
      <c r="R10">
        <v>18</v>
      </c>
      <c r="S10">
        <v>19</v>
      </c>
      <c r="T10">
        <v>16</v>
      </c>
      <c r="U10">
        <f t="shared" si="0"/>
        <v>108</v>
      </c>
      <c r="V10">
        <f>4-5</f>
        <v>-1</v>
      </c>
      <c r="X10">
        <v>5</v>
      </c>
      <c r="Y10" s="5" t="s">
        <v>46</v>
      </c>
      <c r="Z10" s="5">
        <f>9+(1*5)+(1*4)+(1*5)+(1*36)+(1*2)+(1*10)</f>
        <v>71</v>
      </c>
      <c r="AA10" s="5">
        <f>5+(1*6)+(1*15)</f>
        <v>26</v>
      </c>
      <c r="AB10" s="5">
        <f>10+(1*2)+(1*13)</f>
        <v>25</v>
      </c>
      <c r="AC10" s="6">
        <f t="shared" si="1"/>
        <v>122</v>
      </c>
      <c r="AD10">
        <f>6-5</f>
        <v>1</v>
      </c>
      <c r="AF10">
        <v>5</v>
      </c>
      <c r="AG10" t="s">
        <v>36</v>
      </c>
      <c r="AH10">
        <v>16</v>
      </c>
      <c r="AI10">
        <v>26</v>
      </c>
      <c r="AJ10">
        <v>22</v>
      </c>
      <c r="AM10" s="2">
        <v>64</v>
      </c>
      <c r="AO10">
        <v>5</v>
      </c>
      <c r="AP10" t="s">
        <v>47</v>
      </c>
      <c r="AQ10">
        <v>1</v>
      </c>
      <c r="AR10">
        <v>1</v>
      </c>
      <c r="AS10">
        <v>0</v>
      </c>
      <c r="AT10" s="3">
        <v>184999</v>
      </c>
      <c r="AU10" s="2"/>
      <c r="AV10" s="9">
        <f>AW10*100/AT10</f>
        <v>0.00108108692479419</v>
      </c>
      <c r="AW10">
        <v>2</v>
      </c>
      <c r="AX10">
        <f>57-5</f>
        <v>52</v>
      </c>
      <c r="AY10">
        <v>68</v>
      </c>
      <c r="AZ10">
        <f t="shared" si="2"/>
        <v>36.5</v>
      </c>
      <c r="BB10">
        <v>83</v>
      </c>
      <c r="BC10" t="s">
        <v>48</v>
      </c>
      <c r="BD10">
        <v>77</v>
      </c>
      <c r="BE10">
        <f>(BD10+BB10)/2</f>
        <v>80</v>
      </c>
      <c r="BF10">
        <v>5</v>
      </c>
    </row>
    <row r="11" spans="1:58">
      <c r="A11">
        <v>6</v>
      </c>
      <c r="B11" t="s">
        <v>46</v>
      </c>
      <c r="C11">
        <v>15</v>
      </c>
      <c r="D11">
        <v>7</v>
      </c>
      <c r="E11">
        <v>12</v>
      </c>
      <c r="F11">
        <v>34</v>
      </c>
      <c r="H11">
        <v>6</v>
      </c>
      <c r="I11" t="s">
        <v>39</v>
      </c>
      <c r="J11">
        <v>20</v>
      </c>
      <c r="K11">
        <v>12</v>
      </c>
      <c r="L11">
        <v>13</v>
      </c>
      <c r="M11">
        <v>45</v>
      </c>
      <c r="N11">
        <v>-3</v>
      </c>
      <c r="P11">
        <v>6</v>
      </c>
      <c r="Q11" t="s">
        <v>39</v>
      </c>
      <c r="R11">
        <v>20</v>
      </c>
      <c r="S11">
        <v>12</v>
      </c>
      <c r="T11">
        <v>13</v>
      </c>
      <c r="U11">
        <f t="shared" si="0"/>
        <v>97</v>
      </c>
      <c r="V11">
        <f>3-6</f>
        <v>-3</v>
      </c>
      <c r="X11">
        <v>6</v>
      </c>
      <c r="Y11" s="5" t="s">
        <v>43</v>
      </c>
      <c r="Z11" s="5">
        <f>15+(1*4)+(1*12)+(1*2)</f>
        <v>33</v>
      </c>
      <c r="AA11" s="5">
        <f>16+(1*4)+(1*13)+(1*13)</f>
        <v>46</v>
      </c>
      <c r="AB11" s="5">
        <f>10+(1*2)+(1*12)+(1*2)+(1*3)+(1*4)+(1*6)</f>
        <v>39</v>
      </c>
      <c r="AC11" s="6">
        <f t="shared" si="1"/>
        <v>118</v>
      </c>
      <c r="AD11">
        <f>4-6</f>
        <v>-2</v>
      </c>
      <c r="AF11">
        <v>6</v>
      </c>
      <c r="AG11" t="s">
        <v>46</v>
      </c>
      <c r="AH11">
        <v>15</v>
      </c>
      <c r="AI11">
        <v>7</v>
      </c>
      <c r="AJ11">
        <v>12</v>
      </c>
      <c r="AM11" s="2">
        <v>34</v>
      </c>
      <c r="AO11">
        <v>6</v>
      </c>
      <c r="AP11" t="s">
        <v>49</v>
      </c>
      <c r="AQ11">
        <v>10</v>
      </c>
      <c r="AR11">
        <v>7</v>
      </c>
      <c r="AS11">
        <v>3</v>
      </c>
      <c r="AT11" s="3">
        <v>4595700</v>
      </c>
      <c r="AU11" s="2">
        <f>AT11/(SUM(AQ11:AS11))</f>
        <v>229785</v>
      </c>
      <c r="AV11" s="9">
        <f>AW11*100/AT11</f>
        <v>0.000435189416193398</v>
      </c>
      <c r="AW11">
        <v>20</v>
      </c>
      <c r="AX11">
        <f>11-5</f>
        <v>6</v>
      </c>
      <c r="AY11">
        <v>12</v>
      </c>
      <c r="AZ11">
        <f t="shared" si="2"/>
        <v>9</v>
      </c>
      <c r="BB11">
        <v>82</v>
      </c>
      <c r="BC11" t="s">
        <v>50</v>
      </c>
      <c r="BD11">
        <v>76</v>
      </c>
      <c r="BE11">
        <f>(BD11+BB11)/2</f>
        <v>79</v>
      </c>
      <c r="BF11">
        <v>6</v>
      </c>
    </row>
    <row r="12" spans="1:58">
      <c r="A12">
        <v>7</v>
      </c>
      <c r="B12" t="s">
        <v>40</v>
      </c>
      <c r="C12">
        <v>14</v>
      </c>
      <c r="D12">
        <v>22</v>
      </c>
      <c r="E12">
        <v>29</v>
      </c>
      <c r="F12">
        <v>65</v>
      </c>
      <c r="H12">
        <v>7</v>
      </c>
      <c r="I12" t="s">
        <v>51</v>
      </c>
      <c r="J12">
        <v>12</v>
      </c>
      <c r="K12">
        <v>13</v>
      </c>
      <c r="L12">
        <v>15</v>
      </c>
      <c r="M12">
        <v>40</v>
      </c>
      <c r="N12">
        <v>2</v>
      </c>
      <c r="P12">
        <v>7</v>
      </c>
      <c r="Q12" t="s">
        <v>51</v>
      </c>
      <c r="R12">
        <v>12</v>
      </c>
      <c r="S12">
        <v>13</v>
      </c>
      <c r="T12">
        <v>15</v>
      </c>
      <c r="U12">
        <f t="shared" si="0"/>
        <v>77</v>
      </c>
      <c r="V12">
        <f>9-7</f>
        <v>2</v>
      </c>
      <c r="X12">
        <v>7</v>
      </c>
      <c r="Y12" s="5" t="s">
        <v>52</v>
      </c>
      <c r="Z12" s="5">
        <f>8+(1*4)+(1*12)+(1*3)+(1*4)</f>
        <v>31</v>
      </c>
      <c r="AA12" s="5">
        <f>9+(1*2)+(1*18)+(1*16)+(1*2)</f>
        <v>47</v>
      </c>
      <c r="AB12" s="5">
        <f>4+(1*5)+(1*3)+(1*20)+(1*4)</f>
        <v>36</v>
      </c>
      <c r="AC12" s="6">
        <f t="shared" si="1"/>
        <v>114</v>
      </c>
      <c r="AD12">
        <f>10-7</f>
        <v>3</v>
      </c>
      <c r="AF12">
        <v>7</v>
      </c>
      <c r="AG12" t="s">
        <v>40</v>
      </c>
      <c r="AH12">
        <v>14</v>
      </c>
      <c r="AI12">
        <v>22</v>
      </c>
      <c r="AJ12">
        <v>29</v>
      </c>
      <c r="AM12" s="2">
        <v>65</v>
      </c>
      <c r="AO12">
        <v>7</v>
      </c>
      <c r="AP12" t="s">
        <v>53</v>
      </c>
      <c r="AQ12">
        <v>2</v>
      </c>
      <c r="AR12">
        <v>1</v>
      </c>
      <c r="AS12">
        <v>1</v>
      </c>
      <c r="AT12" s="3">
        <v>1377237</v>
      </c>
      <c r="AU12" s="2"/>
      <c r="AV12" s="9">
        <f>AW12*100/AT12</f>
        <v>0.000290436577001634</v>
      </c>
      <c r="AW12">
        <v>4</v>
      </c>
      <c r="AX12">
        <f>33-7</f>
        <v>26</v>
      </c>
      <c r="AY12">
        <v>50</v>
      </c>
      <c r="AZ12">
        <f t="shared" si="2"/>
        <v>28.5</v>
      </c>
      <c r="BB12">
        <v>69</v>
      </c>
      <c r="BC12" t="s">
        <v>54</v>
      </c>
      <c r="BD12">
        <v>88</v>
      </c>
      <c r="BE12">
        <f>(BD12+BB12)/2</f>
        <v>78.5</v>
      </c>
      <c r="BF12">
        <v>7</v>
      </c>
    </row>
    <row r="13" spans="1:58">
      <c r="A13">
        <v>8</v>
      </c>
      <c r="B13" t="s">
        <v>55</v>
      </c>
      <c r="C13">
        <v>13</v>
      </c>
      <c r="D13">
        <v>9</v>
      </c>
      <c r="E13">
        <v>10</v>
      </c>
      <c r="F13">
        <v>32</v>
      </c>
      <c r="H13">
        <v>8</v>
      </c>
      <c r="I13" t="s">
        <v>46</v>
      </c>
      <c r="J13">
        <v>15</v>
      </c>
      <c r="K13">
        <v>7</v>
      </c>
      <c r="L13">
        <v>12</v>
      </c>
      <c r="M13">
        <v>34</v>
      </c>
      <c r="N13">
        <v>-2</v>
      </c>
      <c r="P13">
        <v>8</v>
      </c>
      <c r="Q13" t="s">
        <v>46</v>
      </c>
      <c r="R13">
        <v>15</v>
      </c>
      <c r="S13">
        <v>7</v>
      </c>
      <c r="T13">
        <v>12</v>
      </c>
      <c r="U13">
        <f t="shared" si="0"/>
        <v>71</v>
      </c>
      <c r="V13">
        <f>6-8</f>
        <v>-2</v>
      </c>
      <c r="X13">
        <v>8</v>
      </c>
      <c r="Y13" s="5" t="s">
        <v>51</v>
      </c>
      <c r="Z13" s="5">
        <f>7+(1*4)+(1*2)+(1*2)+(1*2)+(1*13)</f>
        <v>30</v>
      </c>
      <c r="AA13" s="5">
        <f>8+(1*2)+(1*4)+(1*8)+(1*10)+(1*6)</f>
        <v>38</v>
      </c>
      <c r="AB13" s="5">
        <f>13+(1*4)+(1*6)</f>
        <v>23</v>
      </c>
      <c r="AC13" s="6">
        <f t="shared" si="1"/>
        <v>91</v>
      </c>
      <c r="AD13">
        <v>1</v>
      </c>
      <c r="AF13">
        <v>8</v>
      </c>
      <c r="AG13" t="s">
        <v>55</v>
      </c>
      <c r="AH13">
        <v>13</v>
      </c>
      <c r="AI13">
        <v>9</v>
      </c>
      <c r="AJ13">
        <v>10</v>
      </c>
      <c r="AM13" s="2">
        <v>32</v>
      </c>
      <c r="AO13">
        <v>8</v>
      </c>
      <c r="AP13" t="s">
        <v>43</v>
      </c>
      <c r="AQ13">
        <v>18</v>
      </c>
      <c r="AR13">
        <v>19</v>
      </c>
      <c r="AS13">
        <v>16</v>
      </c>
      <c r="AT13" s="3">
        <v>23781169</v>
      </c>
      <c r="AU13" s="2">
        <f>AT13/(SUM(AQ13:AS13))</f>
        <v>448701.301886792</v>
      </c>
      <c r="AV13" s="9">
        <f>AW13*100/AT13</f>
        <v>0.000222865410863528</v>
      </c>
      <c r="AW13">
        <v>53</v>
      </c>
      <c r="AX13">
        <f>4-7</f>
        <v>-3</v>
      </c>
      <c r="AY13">
        <v>5</v>
      </c>
      <c r="AZ13">
        <f t="shared" si="2"/>
        <v>6.5</v>
      </c>
      <c r="BB13">
        <v>90</v>
      </c>
      <c r="BC13" t="s">
        <v>56</v>
      </c>
      <c r="BD13">
        <v>66</v>
      </c>
      <c r="BE13">
        <f>(BD13+BB13)/2</f>
        <v>78</v>
      </c>
      <c r="BF13">
        <v>8</v>
      </c>
    </row>
    <row r="14" spans="1:58">
      <c r="A14">
        <v>9</v>
      </c>
      <c r="B14" t="s">
        <v>51</v>
      </c>
      <c r="C14">
        <v>12</v>
      </c>
      <c r="D14">
        <v>13</v>
      </c>
      <c r="E14">
        <v>15</v>
      </c>
      <c r="F14">
        <v>40</v>
      </c>
      <c r="H14">
        <v>9</v>
      </c>
      <c r="I14" t="s">
        <v>52</v>
      </c>
      <c r="J14">
        <v>12</v>
      </c>
      <c r="K14">
        <v>13</v>
      </c>
      <c r="L14">
        <v>8</v>
      </c>
      <c r="M14">
        <v>33</v>
      </c>
      <c r="N14">
        <v>1</v>
      </c>
      <c r="P14">
        <v>9</v>
      </c>
      <c r="Q14" t="s">
        <v>52</v>
      </c>
      <c r="R14">
        <v>12</v>
      </c>
      <c r="S14">
        <v>13</v>
      </c>
      <c r="T14">
        <v>8</v>
      </c>
      <c r="U14">
        <f t="shared" si="0"/>
        <v>70</v>
      </c>
      <c r="V14">
        <f>10-9</f>
        <v>1</v>
      </c>
      <c r="X14">
        <v>9</v>
      </c>
      <c r="Y14" s="5" t="s">
        <v>39</v>
      </c>
      <c r="Z14" s="5">
        <f>18+(1*4)+(1*5)</f>
        <v>27</v>
      </c>
      <c r="AA14" s="5">
        <f>8+(1*4)+(1*14)+(1*2)+(1*3)</f>
        <v>31</v>
      </c>
      <c r="AB14" s="5">
        <f>10+(1*4)+(1*4)+(1*8)</f>
        <v>26</v>
      </c>
      <c r="AC14" s="6">
        <f t="shared" si="1"/>
        <v>84</v>
      </c>
      <c r="AD14">
        <f>3-9</f>
        <v>-6</v>
      </c>
      <c r="AF14">
        <v>9</v>
      </c>
      <c r="AG14" t="s">
        <v>51</v>
      </c>
      <c r="AH14">
        <v>12</v>
      </c>
      <c r="AI14">
        <v>13</v>
      </c>
      <c r="AJ14">
        <v>15</v>
      </c>
      <c r="AM14" s="2">
        <v>40</v>
      </c>
      <c r="AO14">
        <v>9</v>
      </c>
      <c r="AP14" t="s">
        <v>57</v>
      </c>
      <c r="AQ14">
        <v>1</v>
      </c>
      <c r="AR14">
        <v>3</v>
      </c>
      <c r="AS14">
        <v>2</v>
      </c>
      <c r="AT14" s="3">
        <v>2725941</v>
      </c>
      <c r="AU14" s="2"/>
      <c r="AV14" s="9">
        <f>AW14*100/AT14</f>
        <v>0.000220107478481743</v>
      </c>
      <c r="AW14">
        <v>6</v>
      </c>
      <c r="AX14">
        <f>44-9</f>
        <v>35</v>
      </c>
      <c r="AY14">
        <v>38</v>
      </c>
      <c r="AZ14">
        <f t="shared" si="2"/>
        <v>23.5</v>
      </c>
      <c r="BB14">
        <v>80</v>
      </c>
      <c r="BC14" t="s">
        <v>58</v>
      </c>
      <c r="BD14">
        <v>75</v>
      </c>
      <c r="BE14">
        <f>(BD14+BB14)/2</f>
        <v>77.5</v>
      </c>
      <c r="BF14">
        <v>9</v>
      </c>
    </row>
    <row r="15" spans="1:58">
      <c r="A15">
        <v>10</v>
      </c>
      <c r="B15" t="s">
        <v>52</v>
      </c>
      <c r="C15">
        <v>12</v>
      </c>
      <c r="D15">
        <v>13</v>
      </c>
      <c r="E15">
        <v>8</v>
      </c>
      <c r="F15">
        <v>33</v>
      </c>
      <c r="H15">
        <v>10</v>
      </c>
      <c r="I15" t="s">
        <v>55</v>
      </c>
      <c r="J15">
        <v>13</v>
      </c>
      <c r="K15">
        <v>9</v>
      </c>
      <c r="L15">
        <v>10</v>
      </c>
      <c r="M15">
        <v>32</v>
      </c>
      <c r="N15">
        <v>-2</v>
      </c>
      <c r="P15">
        <v>10</v>
      </c>
      <c r="Q15" t="s">
        <v>55</v>
      </c>
      <c r="R15">
        <v>13</v>
      </c>
      <c r="S15">
        <v>9</v>
      </c>
      <c r="T15">
        <v>10</v>
      </c>
      <c r="U15">
        <f t="shared" si="0"/>
        <v>67</v>
      </c>
      <c r="V15">
        <f>8-10</f>
        <v>-2</v>
      </c>
      <c r="X15">
        <v>10</v>
      </c>
      <c r="Y15" s="5" t="s">
        <v>59</v>
      </c>
      <c r="Z15" s="5">
        <f>2+(1*22)+(1*2)+(1*13)</f>
        <v>39</v>
      </c>
      <c r="AA15" s="5">
        <f>1+(1*4)+(1*2)+(1*4)</f>
        <v>11</v>
      </c>
      <c r="AB15" s="5">
        <f>5+(1*8)+(1*2)+(1*15)+(1*2)</f>
        <v>32</v>
      </c>
      <c r="AC15" s="6">
        <f t="shared" si="1"/>
        <v>82</v>
      </c>
      <c r="AD15">
        <f>15-10</f>
        <v>5</v>
      </c>
      <c r="AF15">
        <v>10</v>
      </c>
      <c r="AG15" t="s">
        <v>52</v>
      </c>
      <c r="AH15">
        <v>12</v>
      </c>
      <c r="AI15">
        <v>13</v>
      </c>
      <c r="AJ15">
        <v>8</v>
      </c>
      <c r="AM15" s="2">
        <v>33</v>
      </c>
      <c r="AO15">
        <v>10</v>
      </c>
      <c r="AP15" t="s">
        <v>46</v>
      </c>
      <c r="AQ15">
        <v>15</v>
      </c>
      <c r="AR15">
        <v>7</v>
      </c>
      <c r="AS15">
        <v>12</v>
      </c>
      <c r="AT15" s="3">
        <v>16936520</v>
      </c>
      <c r="AU15" s="2">
        <f>AT15/(SUM(AQ15:AS15))</f>
        <v>498132.941176471</v>
      </c>
      <c r="AV15" s="9">
        <f>AW15*100/AT15</f>
        <v>0.000200749622708797</v>
      </c>
      <c r="AW15">
        <v>34</v>
      </c>
      <c r="AX15">
        <f>6-10</f>
        <v>-4</v>
      </c>
      <c r="AY15">
        <v>8</v>
      </c>
      <c r="AZ15">
        <f t="shared" si="2"/>
        <v>9</v>
      </c>
      <c r="BB15">
        <v>67</v>
      </c>
      <c r="BC15" t="s">
        <v>60</v>
      </c>
      <c r="BD15">
        <v>87</v>
      </c>
      <c r="BE15">
        <f>(BD15+BB15)/2</f>
        <v>77</v>
      </c>
      <c r="BF15">
        <v>10</v>
      </c>
    </row>
    <row r="16" spans="1:58">
      <c r="A16">
        <v>11</v>
      </c>
      <c r="B16" t="s">
        <v>49</v>
      </c>
      <c r="C16">
        <v>10</v>
      </c>
      <c r="D16">
        <v>7</v>
      </c>
      <c r="E16">
        <v>3</v>
      </c>
      <c r="F16">
        <v>20</v>
      </c>
      <c r="H16">
        <v>11</v>
      </c>
      <c r="I16" t="s">
        <v>61</v>
      </c>
      <c r="J16">
        <v>9</v>
      </c>
      <c r="K16">
        <v>7</v>
      </c>
      <c r="L16">
        <v>11</v>
      </c>
      <c r="M16">
        <v>27</v>
      </c>
      <c r="N16">
        <v>1</v>
      </c>
      <c r="P16">
        <v>11</v>
      </c>
      <c r="Q16" t="s">
        <v>61</v>
      </c>
      <c r="R16">
        <v>9</v>
      </c>
      <c r="S16">
        <v>7</v>
      </c>
      <c r="T16">
        <v>11</v>
      </c>
      <c r="U16">
        <f t="shared" si="0"/>
        <v>52</v>
      </c>
      <c r="V16">
        <f>12-11</f>
        <v>1</v>
      </c>
      <c r="X16">
        <v>11</v>
      </c>
      <c r="Y16" s="7" t="s">
        <v>62</v>
      </c>
      <c r="Z16" s="7">
        <f>2+(1*2)</f>
        <v>4</v>
      </c>
      <c r="AA16" s="7">
        <f>6+(1*22)</f>
        <v>28</v>
      </c>
      <c r="AB16" s="7">
        <f>7+(1*5)+(1*10)+(1*13)</f>
        <v>35</v>
      </c>
      <c r="AC16" s="6">
        <f t="shared" si="1"/>
        <v>67</v>
      </c>
      <c r="AD16">
        <f>20-11</f>
        <v>9</v>
      </c>
      <c r="AF16">
        <v>11</v>
      </c>
      <c r="AG16" t="s">
        <v>49</v>
      </c>
      <c r="AH16">
        <v>10</v>
      </c>
      <c r="AI16">
        <v>7</v>
      </c>
      <c r="AJ16">
        <v>3</v>
      </c>
      <c r="AM16" s="2">
        <v>20</v>
      </c>
      <c r="AO16">
        <v>11</v>
      </c>
      <c r="AP16" t="s">
        <v>63</v>
      </c>
      <c r="AQ16">
        <v>6</v>
      </c>
      <c r="AR16">
        <v>7</v>
      </c>
      <c r="AS16">
        <v>6</v>
      </c>
      <c r="AT16" s="3">
        <v>9844686</v>
      </c>
      <c r="AU16" s="2">
        <f>AT16/(SUM(AQ16:AS16))</f>
        <v>518141.368421053</v>
      </c>
      <c r="AV16" s="9">
        <f>AW16*100/AT16</f>
        <v>0.000192997521708666</v>
      </c>
      <c r="AW16">
        <v>19</v>
      </c>
      <c r="AX16">
        <f>14-11</f>
        <v>3</v>
      </c>
      <c r="AY16">
        <v>14</v>
      </c>
      <c r="AZ16">
        <f t="shared" si="2"/>
        <v>12.5</v>
      </c>
      <c r="BB16">
        <v>88</v>
      </c>
      <c r="BC16" t="s">
        <v>64</v>
      </c>
      <c r="BD16">
        <v>65</v>
      </c>
      <c r="BE16">
        <f>(BD16+BB16)/2</f>
        <v>76.5</v>
      </c>
      <c r="BF16">
        <v>11</v>
      </c>
    </row>
    <row r="17" spans="1:58">
      <c r="A17">
        <v>12</v>
      </c>
      <c r="B17" t="s">
        <v>61</v>
      </c>
      <c r="C17">
        <v>9</v>
      </c>
      <c r="D17">
        <v>7</v>
      </c>
      <c r="E17">
        <v>11</v>
      </c>
      <c r="F17">
        <v>27</v>
      </c>
      <c r="H17">
        <v>12</v>
      </c>
      <c r="I17" t="s">
        <v>49</v>
      </c>
      <c r="J17">
        <v>10</v>
      </c>
      <c r="K17">
        <v>7</v>
      </c>
      <c r="L17">
        <v>3</v>
      </c>
      <c r="M17">
        <v>20</v>
      </c>
      <c r="N17">
        <v>-1</v>
      </c>
      <c r="P17">
        <v>12</v>
      </c>
      <c r="Q17" t="s">
        <v>49</v>
      </c>
      <c r="R17">
        <v>10</v>
      </c>
      <c r="S17">
        <v>7</v>
      </c>
      <c r="T17">
        <v>3</v>
      </c>
      <c r="U17">
        <f t="shared" si="0"/>
        <v>47</v>
      </c>
      <c r="V17">
        <f>11-12</f>
        <v>-1</v>
      </c>
      <c r="X17">
        <v>12</v>
      </c>
      <c r="Y17" s="5" t="s">
        <v>55</v>
      </c>
      <c r="Z17" s="5">
        <f>11+(1*8)+(1*8)</f>
        <v>27</v>
      </c>
      <c r="AA17" s="5">
        <f>7+(1*2)+(1*2)</f>
        <v>11</v>
      </c>
      <c r="AB17" s="5">
        <f>8+(1*11)+(1*5)</f>
        <v>24</v>
      </c>
      <c r="AC17" s="6">
        <f t="shared" si="1"/>
        <v>62</v>
      </c>
      <c r="AD17">
        <f>8-12</f>
        <v>-4</v>
      </c>
      <c r="AF17">
        <v>12</v>
      </c>
      <c r="AG17" t="s">
        <v>61</v>
      </c>
      <c r="AH17">
        <v>9</v>
      </c>
      <c r="AI17">
        <v>7</v>
      </c>
      <c r="AJ17">
        <v>11</v>
      </c>
      <c r="AM17" s="2">
        <v>27</v>
      </c>
      <c r="AO17">
        <v>12</v>
      </c>
      <c r="AP17" t="s">
        <v>65</v>
      </c>
      <c r="AQ17">
        <v>0</v>
      </c>
      <c r="AR17">
        <v>0</v>
      </c>
      <c r="AS17">
        <v>1</v>
      </c>
      <c r="AT17" s="3">
        <v>520502</v>
      </c>
      <c r="AU17" s="2"/>
      <c r="AV17" s="9">
        <f>AW17*100/AT17</f>
        <v>0.000192122220471775</v>
      </c>
      <c r="AW17">
        <v>1</v>
      </c>
      <c r="AX17">
        <f>84-12</f>
        <v>72</v>
      </c>
      <c r="AY17">
        <v>80</v>
      </c>
      <c r="AZ17">
        <f t="shared" si="2"/>
        <v>46</v>
      </c>
      <c r="BB17">
        <v>66</v>
      </c>
      <c r="BC17" t="s">
        <v>66</v>
      </c>
      <c r="BD17">
        <v>86</v>
      </c>
      <c r="BE17">
        <f>(BD17+BB17)/2</f>
        <v>76</v>
      </c>
      <c r="BF17">
        <v>12</v>
      </c>
    </row>
    <row r="18" spans="1:58">
      <c r="A18">
        <v>13</v>
      </c>
      <c r="B18" t="s">
        <v>67</v>
      </c>
      <c r="C18">
        <v>8</v>
      </c>
      <c r="D18">
        <v>2</v>
      </c>
      <c r="E18">
        <v>3</v>
      </c>
      <c r="F18">
        <v>13</v>
      </c>
      <c r="H18" s="5">
        <v>13</v>
      </c>
      <c r="I18" s="5" t="s">
        <v>62</v>
      </c>
      <c r="J18">
        <v>3</v>
      </c>
      <c r="K18">
        <v>7</v>
      </c>
      <c r="L18">
        <v>10</v>
      </c>
      <c r="M18">
        <v>20</v>
      </c>
      <c r="N18">
        <v>7</v>
      </c>
      <c r="P18">
        <v>13</v>
      </c>
      <c r="Q18" t="s">
        <v>63</v>
      </c>
      <c r="R18">
        <v>6</v>
      </c>
      <c r="S18">
        <v>7</v>
      </c>
      <c r="T18">
        <v>6</v>
      </c>
      <c r="U18">
        <f t="shared" si="0"/>
        <v>38</v>
      </c>
      <c r="V18">
        <f>14-13</f>
        <v>1</v>
      </c>
      <c r="X18">
        <v>13</v>
      </c>
      <c r="Y18" s="5" t="s">
        <v>61</v>
      </c>
      <c r="Z18" s="5">
        <f>8+(1*5)</f>
        <v>13</v>
      </c>
      <c r="AA18" s="5">
        <f>4+(1*9)+(1*14)+(1*2)</f>
        <v>29</v>
      </c>
      <c r="AB18" s="5">
        <f>8+(1*2)+(1*2)+(1*2)</f>
        <v>14</v>
      </c>
      <c r="AC18" s="6">
        <f t="shared" si="1"/>
        <v>56</v>
      </c>
      <c r="AD18">
        <f>12-13</f>
        <v>-1</v>
      </c>
      <c r="AF18">
        <v>13</v>
      </c>
      <c r="AG18" t="s">
        <v>67</v>
      </c>
      <c r="AH18">
        <v>8</v>
      </c>
      <c r="AI18">
        <v>2</v>
      </c>
      <c r="AJ18">
        <v>3</v>
      </c>
      <c r="AM18" s="2">
        <v>13</v>
      </c>
      <c r="AO18">
        <v>13</v>
      </c>
      <c r="AP18" t="s">
        <v>68</v>
      </c>
      <c r="AQ18">
        <v>3</v>
      </c>
      <c r="AR18">
        <v>3</v>
      </c>
      <c r="AS18">
        <v>1</v>
      </c>
      <c r="AT18" s="3">
        <v>3679000</v>
      </c>
      <c r="AU18" s="2"/>
      <c r="AV18" s="9">
        <f>AW18*100/AT18</f>
        <v>0.000190269094862734</v>
      </c>
      <c r="AW18">
        <v>7</v>
      </c>
      <c r="AX18">
        <f>24-13</f>
        <v>11</v>
      </c>
      <c r="AY18">
        <v>30</v>
      </c>
      <c r="AZ18">
        <f t="shared" si="2"/>
        <v>21.5</v>
      </c>
      <c r="BB18">
        <v>63</v>
      </c>
      <c r="BC18" t="s">
        <v>69</v>
      </c>
      <c r="BD18">
        <v>85</v>
      </c>
      <c r="BE18">
        <f>(BD18+BB18)/2</f>
        <v>74</v>
      </c>
      <c r="BF18">
        <v>13</v>
      </c>
    </row>
    <row r="19" spans="1:58">
      <c r="A19">
        <v>14</v>
      </c>
      <c r="B19" t="s">
        <v>63</v>
      </c>
      <c r="C19">
        <v>6</v>
      </c>
      <c r="D19">
        <v>7</v>
      </c>
      <c r="E19">
        <v>6</v>
      </c>
      <c r="F19">
        <v>19</v>
      </c>
      <c r="H19">
        <v>14</v>
      </c>
      <c r="I19" t="s">
        <v>63</v>
      </c>
      <c r="J19">
        <v>6</v>
      </c>
      <c r="K19">
        <v>7</v>
      </c>
      <c r="L19">
        <v>6</v>
      </c>
      <c r="M19">
        <v>19</v>
      </c>
      <c r="P19" s="5">
        <v>14</v>
      </c>
      <c r="Q19" s="5" t="s">
        <v>62</v>
      </c>
      <c r="R19">
        <v>3</v>
      </c>
      <c r="S19">
        <v>7</v>
      </c>
      <c r="T19">
        <v>10</v>
      </c>
      <c r="U19">
        <f t="shared" si="0"/>
        <v>33</v>
      </c>
      <c r="V19">
        <f>20-14</f>
        <v>6</v>
      </c>
      <c r="X19">
        <v>14</v>
      </c>
      <c r="Y19" s="5" t="s">
        <v>49</v>
      </c>
      <c r="Z19" s="5">
        <f>8+(1*6)+(1*12)</f>
        <v>26</v>
      </c>
      <c r="AA19" s="5">
        <f>4+(1*7)+(1*10)+(1*4)</f>
        <v>25</v>
      </c>
      <c r="AB19">
        <v>3</v>
      </c>
      <c r="AC19" s="6">
        <f t="shared" si="1"/>
        <v>54</v>
      </c>
      <c r="AD19">
        <f>11-14</f>
        <v>-3</v>
      </c>
      <c r="AF19">
        <v>14</v>
      </c>
      <c r="AG19" t="s">
        <v>63</v>
      </c>
      <c r="AH19">
        <v>6</v>
      </c>
      <c r="AI19">
        <v>7</v>
      </c>
      <c r="AJ19">
        <v>6</v>
      </c>
      <c r="AM19" s="2">
        <v>19</v>
      </c>
      <c r="AO19">
        <v>14</v>
      </c>
      <c r="AP19" t="s">
        <v>70</v>
      </c>
      <c r="AQ19">
        <v>2</v>
      </c>
      <c r="AR19">
        <v>2</v>
      </c>
      <c r="AS19">
        <v>3</v>
      </c>
      <c r="AT19" s="3">
        <v>4224404</v>
      </c>
      <c r="AU19" s="2"/>
      <c r="AV19" s="9">
        <f>AW19*100/AT19</f>
        <v>0.000165703848400863</v>
      </c>
      <c r="AW19">
        <v>7</v>
      </c>
      <c r="AX19">
        <f>31-14</f>
        <v>17</v>
      </c>
      <c r="AY19">
        <v>31</v>
      </c>
      <c r="AZ19">
        <f t="shared" si="2"/>
        <v>22.5</v>
      </c>
      <c r="BB19">
        <v>71</v>
      </c>
      <c r="BC19" t="s">
        <v>71</v>
      </c>
      <c r="BD19">
        <v>74</v>
      </c>
      <c r="BE19">
        <f>(BD19+BB19)/2</f>
        <v>72.5</v>
      </c>
      <c r="BF19">
        <v>14</v>
      </c>
    </row>
    <row r="20" spans="1:58">
      <c r="A20">
        <v>15</v>
      </c>
      <c r="B20" t="s">
        <v>59</v>
      </c>
      <c r="C20">
        <v>5</v>
      </c>
      <c r="D20">
        <v>4</v>
      </c>
      <c r="E20">
        <v>9</v>
      </c>
      <c r="F20">
        <v>18</v>
      </c>
      <c r="H20">
        <v>15</v>
      </c>
      <c r="I20" t="s">
        <v>59</v>
      </c>
      <c r="J20">
        <v>5</v>
      </c>
      <c r="K20">
        <v>4</v>
      </c>
      <c r="L20">
        <v>9</v>
      </c>
      <c r="M20">
        <v>18</v>
      </c>
      <c r="P20">
        <v>15</v>
      </c>
      <c r="Q20" t="s">
        <v>59</v>
      </c>
      <c r="R20">
        <v>5</v>
      </c>
      <c r="S20">
        <v>4</v>
      </c>
      <c r="T20">
        <v>9</v>
      </c>
      <c r="U20">
        <f t="shared" si="0"/>
        <v>32</v>
      </c>
      <c r="X20">
        <v>15</v>
      </c>
      <c r="Y20" s="5" t="s">
        <v>63</v>
      </c>
      <c r="Z20" s="5">
        <f>5+(1*4)</f>
        <v>9</v>
      </c>
      <c r="AA20" s="5">
        <f>5+(1*10)+(1*4)</f>
        <v>19</v>
      </c>
      <c r="AB20">
        <v>6</v>
      </c>
      <c r="AC20" s="6">
        <f t="shared" si="1"/>
        <v>34</v>
      </c>
      <c r="AD20">
        <f>14-15</f>
        <v>-1</v>
      </c>
      <c r="AF20">
        <v>15</v>
      </c>
      <c r="AG20" t="s">
        <v>59</v>
      </c>
      <c r="AH20">
        <v>5</v>
      </c>
      <c r="AI20">
        <v>4</v>
      </c>
      <c r="AJ20">
        <v>9</v>
      </c>
      <c r="AM20" s="2">
        <v>18</v>
      </c>
      <c r="AO20">
        <v>15</v>
      </c>
      <c r="AP20" t="s">
        <v>72</v>
      </c>
      <c r="AQ20">
        <v>2</v>
      </c>
      <c r="AR20">
        <v>2</v>
      </c>
      <c r="AS20">
        <v>5</v>
      </c>
      <c r="AT20" s="3">
        <v>5676002</v>
      </c>
      <c r="AU20" s="2"/>
      <c r="AV20" s="9">
        <f>AW20*100/AT20</f>
        <v>0.000158562311993548</v>
      </c>
      <c r="AW20">
        <v>9</v>
      </c>
      <c r="AX20">
        <f>29-15</f>
        <v>14</v>
      </c>
      <c r="AY20">
        <v>23</v>
      </c>
      <c r="AZ20">
        <f t="shared" si="2"/>
        <v>19</v>
      </c>
      <c r="BB20">
        <v>86</v>
      </c>
      <c r="BC20" t="s">
        <v>73</v>
      </c>
      <c r="BD20">
        <v>58</v>
      </c>
      <c r="BE20">
        <f>(BD20+BB20)/2</f>
        <v>72</v>
      </c>
      <c r="BF20">
        <v>15</v>
      </c>
    </row>
    <row r="21" spans="1:58">
      <c r="A21">
        <v>16</v>
      </c>
      <c r="B21" t="s">
        <v>74</v>
      </c>
      <c r="C21">
        <v>4</v>
      </c>
      <c r="D21">
        <v>4</v>
      </c>
      <c r="E21">
        <v>3</v>
      </c>
      <c r="F21">
        <v>11</v>
      </c>
      <c r="H21">
        <v>16</v>
      </c>
      <c r="I21" t="s">
        <v>67</v>
      </c>
      <c r="J21">
        <v>8</v>
      </c>
      <c r="K21">
        <v>2</v>
      </c>
      <c r="L21">
        <v>3</v>
      </c>
      <c r="M21">
        <v>13</v>
      </c>
      <c r="N21">
        <v>-3</v>
      </c>
      <c r="P21">
        <v>16</v>
      </c>
      <c r="Q21" t="s">
        <v>67</v>
      </c>
      <c r="R21">
        <v>8</v>
      </c>
      <c r="S21">
        <v>2</v>
      </c>
      <c r="T21">
        <v>3</v>
      </c>
      <c r="U21">
        <f t="shared" si="0"/>
        <v>31</v>
      </c>
      <c r="V21">
        <f>13-16</f>
        <v>-3</v>
      </c>
      <c r="X21">
        <v>16</v>
      </c>
      <c r="Y21" s="5" t="s">
        <v>75</v>
      </c>
      <c r="Z21" s="5">
        <f>3+(1*15)</f>
        <v>18</v>
      </c>
      <c r="AA21">
        <v>1</v>
      </c>
      <c r="AB21" s="5">
        <f>2+(1*2)</f>
        <v>4</v>
      </c>
      <c r="AC21" s="6">
        <f t="shared" ref="AC6:AC69" si="3">SUM(Z21:AB21)</f>
        <v>23</v>
      </c>
      <c r="AD21">
        <f>18-16</f>
        <v>2</v>
      </c>
      <c r="AF21">
        <v>16</v>
      </c>
      <c r="AG21" t="s">
        <v>74</v>
      </c>
      <c r="AH21">
        <v>4</v>
      </c>
      <c r="AI21">
        <v>4</v>
      </c>
      <c r="AJ21">
        <v>3</v>
      </c>
      <c r="AM21" s="2">
        <v>11</v>
      </c>
      <c r="AO21">
        <v>16</v>
      </c>
      <c r="AP21" t="s">
        <v>75</v>
      </c>
      <c r="AQ21">
        <v>4</v>
      </c>
      <c r="AR21">
        <v>1</v>
      </c>
      <c r="AS21">
        <v>3</v>
      </c>
      <c r="AT21" s="3">
        <v>5195921</v>
      </c>
      <c r="AU21" s="2">
        <f>AT21/(SUM(AQ21:AS21))</f>
        <v>649490.125</v>
      </c>
      <c r="AV21" s="9">
        <f>AW21*100/AT21</f>
        <v>0.00015396692905839</v>
      </c>
      <c r="AW21">
        <v>8</v>
      </c>
      <c r="AX21">
        <f>18-16</f>
        <v>2</v>
      </c>
      <c r="AY21">
        <v>26</v>
      </c>
      <c r="AZ21">
        <f t="shared" si="2"/>
        <v>21</v>
      </c>
      <c r="BB21">
        <v>70</v>
      </c>
      <c r="BC21" t="s">
        <v>76</v>
      </c>
      <c r="BD21">
        <v>73</v>
      </c>
      <c r="BE21">
        <f>(BD21+BB21)/2</f>
        <v>71.5</v>
      </c>
      <c r="BF21">
        <v>16</v>
      </c>
    </row>
    <row r="22" spans="1:58">
      <c r="A22">
        <v>17</v>
      </c>
      <c r="B22" t="s">
        <v>77</v>
      </c>
      <c r="C22">
        <v>4</v>
      </c>
      <c r="D22">
        <v>2</v>
      </c>
      <c r="E22">
        <v>5</v>
      </c>
      <c r="F22">
        <v>11</v>
      </c>
      <c r="H22">
        <v>17</v>
      </c>
      <c r="I22" t="s">
        <v>78</v>
      </c>
      <c r="J22">
        <v>3</v>
      </c>
      <c r="K22">
        <v>6</v>
      </c>
      <c r="L22">
        <v>3</v>
      </c>
      <c r="M22">
        <v>12</v>
      </c>
      <c r="N22">
        <v>4</v>
      </c>
      <c r="P22">
        <v>17</v>
      </c>
      <c r="Q22" t="s">
        <v>78</v>
      </c>
      <c r="R22">
        <v>3</v>
      </c>
      <c r="S22">
        <v>6</v>
      </c>
      <c r="T22">
        <v>3</v>
      </c>
      <c r="U22">
        <f t="shared" si="0"/>
        <v>24</v>
      </c>
      <c r="V22">
        <f>21-17</f>
        <v>4</v>
      </c>
      <c r="X22">
        <v>17</v>
      </c>
      <c r="Y22" s="5" t="s">
        <v>74</v>
      </c>
      <c r="Z22" s="5">
        <f>3+(1*2)</f>
        <v>5</v>
      </c>
      <c r="AA22" s="5">
        <f>2+(1*2)+(1*3)</f>
        <v>7</v>
      </c>
      <c r="AB22" s="5">
        <f>2+(1*2)</f>
        <v>4</v>
      </c>
      <c r="AC22" s="6">
        <f t="shared" si="3"/>
        <v>16</v>
      </c>
      <c r="AD22">
        <f>16-17</f>
        <v>-1</v>
      </c>
      <c r="AF22">
        <v>17</v>
      </c>
      <c r="AG22" t="s">
        <v>77</v>
      </c>
      <c r="AH22">
        <v>4</v>
      </c>
      <c r="AI22">
        <v>2</v>
      </c>
      <c r="AJ22">
        <v>5</v>
      </c>
      <c r="AM22" s="2">
        <v>11</v>
      </c>
      <c r="AO22">
        <v>17</v>
      </c>
      <c r="AP22" t="s">
        <v>79</v>
      </c>
      <c r="AQ22">
        <v>4</v>
      </c>
      <c r="AR22">
        <v>0</v>
      </c>
      <c r="AS22">
        <v>3</v>
      </c>
      <c r="AT22" s="3">
        <v>4640703</v>
      </c>
      <c r="AU22" s="2">
        <f>AT22/(SUM(AQ22:AS22))</f>
        <v>662957.571428571</v>
      </c>
      <c r="AV22" s="9">
        <f>AW22*100/AT22</f>
        <v>0.000150839215524027</v>
      </c>
      <c r="AW22">
        <v>7</v>
      </c>
      <c r="AX22">
        <f>19-17</f>
        <v>2</v>
      </c>
      <c r="AY22">
        <v>32</v>
      </c>
      <c r="AZ22">
        <f t="shared" si="2"/>
        <v>24.5</v>
      </c>
      <c r="BB22">
        <v>78</v>
      </c>
      <c r="BC22" t="s">
        <v>80</v>
      </c>
      <c r="BD22">
        <v>64</v>
      </c>
      <c r="BE22">
        <f>(BD22+BB22)/2</f>
        <v>71</v>
      </c>
      <c r="BF22">
        <v>17</v>
      </c>
    </row>
    <row r="23" spans="1:58">
      <c r="A23">
        <v>18</v>
      </c>
      <c r="B23" t="s">
        <v>75</v>
      </c>
      <c r="C23">
        <v>4</v>
      </c>
      <c r="D23">
        <v>1</v>
      </c>
      <c r="E23">
        <v>3</v>
      </c>
      <c r="F23">
        <v>8</v>
      </c>
      <c r="H23">
        <v>18</v>
      </c>
      <c r="I23" t="s">
        <v>81</v>
      </c>
      <c r="J23">
        <v>3</v>
      </c>
      <c r="K23">
        <v>5</v>
      </c>
      <c r="L23">
        <v>4</v>
      </c>
      <c r="M23">
        <v>12</v>
      </c>
      <c r="N23">
        <v>4</v>
      </c>
      <c r="P23">
        <v>18</v>
      </c>
      <c r="Q23" t="s">
        <v>74</v>
      </c>
      <c r="R23">
        <v>4</v>
      </c>
      <c r="S23">
        <v>4</v>
      </c>
      <c r="T23">
        <v>3</v>
      </c>
      <c r="U23">
        <f t="shared" si="0"/>
        <v>23</v>
      </c>
      <c r="V23">
        <f>16-18</f>
        <v>-2</v>
      </c>
      <c r="X23">
        <v>18</v>
      </c>
      <c r="Y23" s="5" t="s">
        <v>81</v>
      </c>
      <c r="Z23" s="5">
        <f>2+(1*4)</f>
        <v>6</v>
      </c>
      <c r="AA23" s="5">
        <f>4+(1*2)</f>
        <v>6</v>
      </c>
      <c r="AB23">
        <v>4</v>
      </c>
      <c r="AC23" s="6">
        <f t="shared" si="3"/>
        <v>16</v>
      </c>
      <c r="AD23">
        <f>22-18</f>
        <v>4</v>
      </c>
      <c r="AF23">
        <v>18</v>
      </c>
      <c r="AG23" t="s">
        <v>75</v>
      </c>
      <c r="AH23">
        <v>4</v>
      </c>
      <c r="AI23">
        <v>1</v>
      </c>
      <c r="AJ23">
        <v>3</v>
      </c>
      <c r="AM23" s="2">
        <v>8</v>
      </c>
      <c r="AO23">
        <v>18</v>
      </c>
      <c r="AP23" t="s">
        <v>82</v>
      </c>
      <c r="AQ23">
        <v>2</v>
      </c>
      <c r="AR23">
        <v>1</v>
      </c>
      <c r="AS23">
        <v>0</v>
      </c>
      <c r="AT23" s="3">
        <v>2063768</v>
      </c>
      <c r="AU23" s="2"/>
      <c r="AV23" s="9">
        <f>AW23*100/AT23</f>
        <v>0.000145365176705909</v>
      </c>
      <c r="AW23">
        <v>3</v>
      </c>
      <c r="AX23">
        <f>34-18</f>
        <v>16</v>
      </c>
      <c r="AY23">
        <v>59</v>
      </c>
      <c r="AZ23">
        <f t="shared" si="2"/>
        <v>38.5</v>
      </c>
      <c r="BB23">
        <v>85</v>
      </c>
      <c r="BC23" t="s">
        <v>83</v>
      </c>
      <c r="BD23">
        <v>57</v>
      </c>
      <c r="BE23">
        <f>(BD23+BB23)/2</f>
        <v>71</v>
      </c>
      <c r="BF23">
        <v>18</v>
      </c>
    </row>
    <row r="24" spans="1:58">
      <c r="A24">
        <v>19</v>
      </c>
      <c r="B24" t="s">
        <v>79</v>
      </c>
      <c r="C24">
        <v>4</v>
      </c>
      <c r="D24">
        <v>0</v>
      </c>
      <c r="E24">
        <v>3</v>
      </c>
      <c r="F24">
        <v>7</v>
      </c>
      <c r="H24">
        <v>19</v>
      </c>
      <c r="I24" t="s">
        <v>74</v>
      </c>
      <c r="J24">
        <v>4</v>
      </c>
      <c r="K24">
        <v>4</v>
      </c>
      <c r="L24">
        <v>3</v>
      </c>
      <c r="M24">
        <v>11</v>
      </c>
      <c r="N24">
        <v>-3</v>
      </c>
      <c r="P24">
        <v>19</v>
      </c>
      <c r="Q24" t="s">
        <v>81</v>
      </c>
      <c r="R24">
        <v>3</v>
      </c>
      <c r="S24">
        <v>5</v>
      </c>
      <c r="T24">
        <v>4</v>
      </c>
      <c r="U24">
        <f t="shared" si="0"/>
        <v>23</v>
      </c>
      <c r="V24">
        <f>22-19</f>
        <v>3</v>
      </c>
      <c r="X24">
        <v>19</v>
      </c>
      <c r="Y24" s="5" t="s">
        <v>67</v>
      </c>
      <c r="Z24">
        <v>8</v>
      </c>
      <c r="AA24">
        <v>2</v>
      </c>
      <c r="AB24">
        <v>3</v>
      </c>
      <c r="AC24" s="6">
        <f t="shared" si="3"/>
        <v>13</v>
      </c>
      <c r="AD24">
        <f>13-19</f>
        <v>-6</v>
      </c>
      <c r="AF24">
        <v>19</v>
      </c>
      <c r="AG24" t="s">
        <v>79</v>
      </c>
      <c r="AH24">
        <v>4</v>
      </c>
      <c r="AI24">
        <v>0</v>
      </c>
      <c r="AJ24">
        <v>3</v>
      </c>
      <c r="AM24" s="2">
        <v>7</v>
      </c>
      <c r="AO24">
        <v>19</v>
      </c>
      <c r="AP24" t="s">
        <v>84</v>
      </c>
      <c r="AQ24">
        <v>0</v>
      </c>
      <c r="AR24">
        <v>2</v>
      </c>
      <c r="AS24">
        <v>2</v>
      </c>
      <c r="AT24" s="3">
        <v>2910199</v>
      </c>
      <c r="AU24" s="2"/>
      <c r="AV24" s="9">
        <f>AW24*100/AT24</f>
        <v>0.000137447645332845</v>
      </c>
      <c r="AW24">
        <v>4</v>
      </c>
      <c r="AX24">
        <f>70-19</f>
        <v>51</v>
      </c>
      <c r="AY24">
        <v>51</v>
      </c>
      <c r="AZ24">
        <f t="shared" si="2"/>
        <v>35</v>
      </c>
      <c r="BB24">
        <v>56</v>
      </c>
      <c r="BC24" t="s">
        <v>85</v>
      </c>
      <c r="BD24">
        <v>84</v>
      </c>
      <c r="BE24">
        <f>(BD24+BB24)/2</f>
        <v>70</v>
      </c>
      <c r="BF24">
        <v>19</v>
      </c>
    </row>
    <row r="25" spans="1:58">
      <c r="A25" s="5">
        <v>20</v>
      </c>
      <c r="B25" s="5" t="s">
        <v>62</v>
      </c>
      <c r="C25">
        <v>3</v>
      </c>
      <c r="D25">
        <v>7</v>
      </c>
      <c r="E25">
        <v>10</v>
      </c>
      <c r="F25">
        <v>20</v>
      </c>
      <c r="H25">
        <v>20</v>
      </c>
      <c r="I25" t="s">
        <v>77</v>
      </c>
      <c r="J25">
        <v>4</v>
      </c>
      <c r="K25">
        <v>2</v>
      </c>
      <c r="L25">
        <v>5</v>
      </c>
      <c r="M25">
        <v>11</v>
      </c>
      <c r="N25">
        <v>-3</v>
      </c>
      <c r="P25">
        <v>20</v>
      </c>
      <c r="Q25" t="s">
        <v>77</v>
      </c>
      <c r="R25">
        <v>4</v>
      </c>
      <c r="S25">
        <v>2</v>
      </c>
      <c r="T25">
        <v>5</v>
      </c>
      <c r="U25">
        <f t="shared" si="0"/>
        <v>21</v>
      </c>
      <c r="V25">
        <f>17-20</f>
        <v>-3</v>
      </c>
      <c r="X25">
        <v>20</v>
      </c>
      <c r="Y25" s="5" t="s">
        <v>78</v>
      </c>
      <c r="Z25">
        <v>3</v>
      </c>
      <c r="AA25">
        <v>6</v>
      </c>
      <c r="AB25">
        <v>3</v>
      </c>
      <c r="AC25" s="6">
        <f t="shared" si="3"/>
        <v>12</v>
      </c>
      <c r="AD25">
        <f>21-20</f>
        <v>1</v>
      </c>
      <c r="AF25" s="5">
        <v>20</v>
      </c>
      <c r="AG25" s="5" t="s">
        <v>62</v>
      </c>
      <c r="AH25">
        <v>3</v>
      </c>
      <c r="AI25">
        <v>7</v>
      </c>
      <c r="AJ25">
        <v>10</v>
      </c>
      <c r="AK25">
        <v>5</v>
      </c>
      <c r="AL25">
        <v>276</v>
      </c>
      <c r="AM25" s="2">
        <f>20-((AK25*100)/AL25)</f>
        <v>18.1884057971014</v>
      </c>
      <c r="AO25">
        <v>20</v>
      </c>
      <c r="AP25" t="s">
        <v>86</v>
      </c>
      <c r="AQ25">
        <v>0</v>
      </c>
      <c r="AR25">
        <v>3</v>
      </c>
      <c r="AS25">
        <v>1</v>
      </c>
      <c r="AT25" s="3">
        <v>3017712</v>
      </c>
      <c r="AU25" s="2"/>
      <c r="AV25" s="9">
        <f>AW25*100/AT25</f>
        <v>0.000132550753683585</v>
      </c>
      <c r="AW25">
        <v>4</v>
      </c>
      <c r="AX25">
        <f>66-20</f>
        <v>46</v>
      </c>
      <c r="AY25">
        <v>52</v>
      </c>
      <c r="AZ25">
        <f t="shared" si="2"/>
        <v>36</v>
      </c>
      <c r="BB25">
        <v>77</v>
      </c>
      <c r="BC25" t="s">
        <v>87</v>
      </c>
      <c r="BD25">
        <v>63</v>
      </c>
      <c r="BE25">
        <f>(BD25+BB25)/2</f>
        <v>70</v>
      </c>
      <c r="BF25">
        <v>20</v>
      </c>
    </row>
    <row r="26" spans="1:58">
      <c r="A26">
        <v>21</v>
      </c>
      <c r="B26" t="s">
        <v>78</v>
      </c>
      <c r="C26">
        <v>3</v>
      </c>
      <c r="D26">
        <v>6</v>
      </c>
      <c r="E26">
        <v>3</v>
      </c>
      <c r="F26">
        <v>12</v>
      </c>
      <c r="H26">
        <v>21</v>
      </c>
      <c r="I26" t="s">
        <v>88</v>
      </c>
      <c r="J26">
        <v>3</v>
      </c>
      <c r="K26">
        <v>1</v>
      </c>
      <c r="L26">
        <v>6</v>
      </c>
      <c r="M26">
        <v>10</v>
      </c>
      <c r="N26">
        <v>4</v>
      </c>
      <c r="P26">
        <v>21</v>
      </c>
      <c r="Q26" t="s">
        <v>89</v>
      </c>
      <c r="R26">
        <v>3</v>
      </c>
      <c r="S26">
        <v>4</v>
      </c>
      <c r="T26">
        <v>2</v>
      </c>
      <c r="U26">
        <f t="shared" si="0"/>
        <v>19</v>
      </c>
      <c r="V26">
        <f>23-21</f>
        <v>2</v>
      </c>
      <c r="X26">
        <v>21</v>
      </c>
      <c r="Y26" s="5" t="s">
        <v>77</v>
      </c>
      <c r="Z26">
        <v>4</v>
      </c>
      <c r="AA26">
        <v>2</v>
      </c>
      <c r="AB26">
        <v>5</v>
      </c>
      <c r="AC26" s="6">
        <f t="shared" si="3"/>
        <v>11</v>
      </c>
      <c r="AD26">
        <f>17-21</f>
        <v>-4</v>
      </c>
      <c r="AF26">
        <v>21</v>
      </c>
      <c r="AG26" t="s">
        <v>78</v>
      </c>
      <c r="AH26">
        <v>3</v>
      </c>
      <c r="AI26">
        <v>6</v>
      </c>
      <c r="AJ26">
        <v>3</v>
      </c>
      <c r="AM26" s="2">
        <v>12</v>
      </c>
      <c r="AO26">
        <v>21</v>
      </c>
      <c r="AP26" t="s">
        <v>90</v>
      </c>
      <c r="AQ26">
        <v>0</v>
      </c>
      <c r="AR26">
        <v>1</v>
      </c>
      <c r="AS26">
        <v>1</v>
      </c>
      <c r="AT26" s="3">
        <v>1770000</v>
      </c>
      <c r="AV26" s="9">
        <f>AW26*100/AT26</f>
        <v>0.000112994350282486</v>
      </c>
      <c r="AW26">
        <v>2</v>
      </c>
      <c r="AX26">
        <f>73-21</f>
        <v>52</v>
      </c>
      <c r="AY26">
        <v>69</v>
      </c>
      <c r="AZ26">
        <f t="shared" si="2"/>
        <v>45</v>
      </c>
      <c r="BB26">
        <v>87</v>
      </c>
      <c r="BC26" t="s">
        <v>91</v>
      </c>
      <c r="BD26">
        <v>49</v>
      </c>
      <c r="BE26">
        <f>(BD26+BB26)/2</f>
        <v>68</v>
      </c>
      <c r="BF26">
        <v>21</v>
      </c>
    </row>
    <row r="27" spans="1:58">
      <c r="A27">
        <v>22</v>
      </c>
      <c r="B27" t="s">
        <v>81</v>
      </c>
      <c r="C27">
        <v>3</v>
      </c>
      <c r="D27">
        <v>5</v>
      </c>
      <c r="E27">
        <v>4</v>
      </c>
      <c r="F27">
        <v>12</v>
      </c>
      <c r="H27">
        <v>22</v>
      </c>
      <c r="I27" t="s">
        <v>92</v>
      </c>
      <c r="J27">
        <v>1</v>
      </c>
      <c r="K27">
        <v>4</v>
      </c>
      <c r="L27">
        <v>5</v>
      </c>
      <c r="M27">
        <v>10</v>
      </c>
      <c r="N27">
        <v>20</v>
      </c>
      <c r="P27">
        <v>22</v>
      </c>
      <c r="Q27" t="s">
        <v>75</v>
      </c>
      <c r="R27">
        <v>4</v>
      </c>
      <c r="S27">
        <v>1</v>
      </c>
      <c r="T27">
        <v>3</v>
      </c>
      <c r="U27">
        <f t="shared" si="0"/>
        <v>17</v>
      </c>
      <c r="V27">
        <f>18-22</f>
        <v>-4</v>
      </c>
      <c r="X27">
        <v>22</v>
      </c>
      <c r="Y27" s="5" t="s">
        <v>79</v>
      </c>
      <c r="Z27">
        <v>4</v>
      </c>
      <c r="AA27">
        <v>0</v>
      </c>
      <c r="AB27" s="5">
        <f>2+(1*4)</f>
        <v>6</v>
      </c>
      <c r="AC27" s="6">
        <f t="shared" si="3"/>
        <v>10</v>
      </c>
      <c r="AD27">
        <f>19-22</f>
        <v>-3</v>
      </c>
      <c r="AF27">
        <v>22</v>
      </c>
      <c r="AG27" t="s">
        <v>81</v>
      </c>
      <c r="AH27">
        <v>3</v>
      </c>
      <c r="AI27">
        <v>5</v>
      </c>
      <c r="AJ27">
        <v>4</v>
      </c>
      <c r="AM27" s="2">
        <v>12</v>
      </c>
      <c r="AO27">
        <v>22</v>
      </c>
      <c r="AP27" t="s">
        <v>93</v>
      </c>
      <c r="AQ27">
        <v>0</v>
      </c>
      <c r="AR27">
        <v>1</v>
      </c>
      <c r="AS27">
        <v>3</v>
      </c>
      <c r="AT27" s="3">
        <v>3554150</v>
      </c>
      <c r="AV27" s="9">
        <f>AW27*100/AT27</f>
        <v>0.0001125444902438</v>
      </c>
      <c r="AW27">
        <v>4</v>
      </c>
      <c r="AX27">
        <f>72-22</f>
        <v>50</v>
      </c>
      <c r="AY27">
        <v>53</v>
      </c>
      <c r="AZ27">
        <f t="shared" si="2"/>
        <v>37.5</v>
      </c>
      <c r="BB27">
        <v>92</v>
      </c>
      <c r="BC27" t="s">
        <v>94</v>
      </c>
      <c r="BD27">
        <v>43</v>
      </c>
      <c r="BE27">
        <f>(BD27+BB27)/2</f>
        <v>67.5</v>
      </c>
      <c r="BF27">
        <v>22</v>
      </c>
    </row>
    <row r="28" spans="1:58">
      <c r="A28">
        <v>23</v>
      </c>
      <c r="B28" t="s">
        <v>89</v>
      </c>
      <c r="C28">
        <v>3</v>
      </c>
      <c r="D28">
        <v>4</v>
      </c>
      <c r="E28">
        <v>2</v>
      </c>
      <c r="F28">
        <v>9</v>
      </c>
      <c r="H28">
        <v>23</v>
      </c>
      <c r="I28" t="s">
        <v>89</v>
      </c>
      <c r="J28">
        <v>3</v>
      </c>
      <c r="K28">
        <v>4</v>
      </c>
      <c r="L28">
        <v>2</v>
      </c>
      <c r="M28">
        <v>9</v>
      </c>
      <c r="P28">
        <v>23</v>
      </c>
      <c r="Q28" t="s">
        <v>88</v>
      </c>
      <c r="R28">
        <v>3</v>
      </c>
      <c r="S28">
        <v>1</v>
      </c>
      <c r="T28">
        <v>6</v>
      </c>
      <c r="U28">
        <f t="shared" si="0"/>
        <v>17</v>
      </c>
      <c r="V28">
        <f>25-23</f>
        <v>2</v>
      </c>
      <c r="X28">
        <v>23</v>
      </c>
      <c r="Y28" t="s">
        <v>88</v>
      </c>
      <c r="Z28">
        <v>3</v>
      </c>
      <c r="AA28">
        <v>1</v>
      </c>
      <c r="AB28">
        <v>6</v>
      </c>
      <c r="AC28" s="6">
        <f t="shared" si="3"/>
        <v>10</v>
      </c>
      <c r="AF28">
        <v>23</v>
      </c>
      <c r="AG28" t="s">
        <v>89</v>
      </c>
      <c r="AH28">
        <v>3</v>
      </c>
      <c r="AI28">
        <v>4</v>
      </c>
      <c r="AJ28">
        <v>2</v>
      </c>
      <c r="AM28" s="2">
        <v>9</v>
      </c>
      <c r="AO28">
        <v>23</v>
      </c>
      <c r="AP28" t="s">
        <v>74</v>
      </c>
      <c r="AQ28">
        <v>4</v>
      </c>
      <c r="AR28">
        <v>4</v>
      </c>
      <c r="AS28">
        <v>3</v>
      </c>
      <c r="AT28" s="3">
        <v>9798871</v>
      </c>
      <c r="AU28" s="2">
        <f>AT28/(SUM(AQ28:AS28))</f>
        <v>890806.454545455</v>
      </c>
      <c r="AV28" s="9">
        <f>AW28*100/AT28</f>
        <v>0.000112257830519455</v>
      </c>
      <c r="AW28">
        <v>11</v>
      </c>
      <c r="AX28">
        <f>16-23</f>
        <v>-7</v>
      </c>
      <c r="AY28">
        <v>19</v>
      </c>
      <c r="AZ28">
        <f t="shared" si="2"/>
        <v>21</v>
      </c>
      <c r="BB28">
        <v>76</v>
      </c>
      <c r="BC28" t="s">
        <v>95</v>
      </c>
      <c r="BD28">
        <v>56</v>
      </c>
      <c r="BE28">
        <f>(BD28+BB28)/2</f>
        <v>66</v>
      </c>
      <c r="BF28">
        <v>23</v>
      </c>
    </row>
    <row r="29" spans="1:58">
      <c r="A29">
        <v>24</v>
      </c>
      <c r="B29" t="s">
        <v>68</v>
      </c>
      <c r="C29">
        <v>3</v>
      </c>
      <c r="D29">
        <v>3</v>
      </c>
      <c r="E29">
        <v>1</v>
      </c>
      <c r="F29">
        <v>7</v>
      </c>
      <c r="H29">
        <v>24</v>
      </c>
      <c r="I29" t="s">
        <v>72</v>
      </c>
      <c r="J29">
        <v>2</v>
      </c>
      <c r="K29">
        <v>2</v>
      </c>
      <c r="L29">
        <v>5</v>
      </c>
      <c r="M29">
        <v>9</v>
      </c>
      <c r="N29">
        <v>5</v>
      </c>
      <c r="P29">
        <v>24</v>
      </c>
      <c r="Q29" t="s">
        <v>68</v>
      </c>
      <c r="R29">
        <v>3</v>
      </c>
      <c r="S29">
        <v>3</v>
      </c>
      <c r="T29">
        <v>1</v>
      </c>
      <c r="U29">
        <f t="shared" si="0"/>
        <v>16</v>
      </c>
      <c r="X29">
        <v>24</v>
      </c>
      <c r="Y29" t="s">
        <v>92</v>
      </c>
      <c r="Z29">
        <v>1</v>
      </c>
      <c r="AA29">
        <v>4</v>
      </c>
      <c r="AB29">
        <v>5</v>
      </c>
      <c r="AC29" s="6">
        <f t="shared" si="3"/>
        <v>10</v>
      </c>
      <c r="AF29">
        <v>24</v>
      </c>
      <c r="AG29" t="s">
        <v>68</v>
      </c>
      <c r="AH29">
        <v>3</v>
      </c>
      <c r="AI29">
        <v>3</v>
      </c>
      <c r="AJ29">
        <v>1</v>
      </c>
      <c r="AM29" s="2">
        <v>7</v>
      </c>
      <c r="AO29">
        <v>24</v>
      </c>
      <c r="AP29" t="s">
        <v>96</v>
      </c>
      <c r="AQ29">
        <v>0</v>
      </c>
      <c r="AR29">
        <v>1</v>
      </c>
      <c r="AS29">
        <v>0</v>
      </c>
      <c r="AT29" s="3">
        <v>892145</v>
      </c>
      <c r="AV29" s="9">
        <f>AW29*100/AT29</f>
        <v>0.00011208940250744</v>
      </c>
      <c r="AW29">
        <v>1</v>
      </c>
      <c r="AX29">
        <f>75-24</f>
        <v>51</v>
      </c>
      <c r="AY29">
        <v>81</v>
      </c>
      <c r="AZ29">
        <f t="shared" si="2"/>
        <v>52.5</v>
      </c>
      <c r="BB29">
        <v>47</v>
      </c>
      <c r="BC29" t="s">
        <v>97</v>
      </c>
      <c r="BD29">
        <v>83</v>
      </c>
      <c r="BE29">
        <f>(BD29+BB29)/2</f>
        <v>65</v>
      </c>
      <c r="BF29">
        <v>24</v>
      </c>
    </row>
    <row r="30" spans="1:58">
      <c r="A30">
        <v>25</v>
      </c>
      <c r="B30" t="s">
        <v>88</v>
      </c>
      <c r="C30">
        <v>3</v>
      </c>
      <c r="D30">
        <v>1</v>
      </c>
      <c r="E30">
        <v>6</v>
      </c>
      <c r="F30">
        <v>10</v>
      </c>
      <c r="H30">
        <v>25</v>
      </c>
      <c r="I30" t="s">
        <v>98</v>
      </c>
      <c r="J30">
        <v>2</v>
      </c>
      <c r="K30">
        <v>1</v>
      </c>
      <c r="L30">
        <v>6</v>
      </c>
      <c r="M30">
        <v>9</v>
      </c>
      <c r="N30">
        <v>7</v>
      </c>
      <c r="P30">
        <v>25</v>
      </c>
      <c r="Q30" t="s">
        <v>92</v>
      </c>
      <c r="R30">
        <v>1</v>
      </c>
      <c r="S30">
        <v>4</v>
      </c>
      <c r="T30">
        <v>5</v>
      </c>
      <c r="U30">
        <f t="shared" si="0"/>
        <v>16</v>
      </c>
      <c r="V30">
        <f>42-25</f>
        <v>17</v>
      </c>
      <c r="X30">
        <v>25</v>
      </c>
      <c r="Y30" t="s">
        <v>89</v>
      </c>
      <c r="Z30">
        <v>3</v>
      </c>
      <c r="AA30">
        <v>4</v>
      </c>
      <c r="AB30">
        <v>2</v>
      </c>
      <c r="AC30" s="6">
        <f t="shared" si="3"/>
        <v>9</v>
      </c>
      <c r="AF30">
        <v>25</v>
      </c>
      <c r="AG30" t="s">
        <v>88</v>
      </c>
      <c r="AH30">
        <v>3</v>
      </c>
      <c r="AI30">
        <v>1</v>
      </c>
      <c r="AJ30">
        <v>6</v>
      </c>
      <c r="AM30" s="2">
        <v>10</v>
      </c>
      <c r="AO30">
        <v>25</v>
      </c>
      <c r="AP30" t="s">
        <v>99</v>
      </c>
      <c r="AQ30">
        <v>0</v>
      </c>
      <c r="AR30">
        <v>2</v>
      </c>
      <c r="AS30">
        <v>4</v>
      </c>
      <c r="AT30" s="3">
        <v>5957000</v>
      </c>
      <c r="AV30" s="9">
        <f>AW30*100/AT30</f>
        <v>0.000100721839852275</v>
      </c>
      <c r="AW30">
        <v>6</v>
      </c>
      <c r="AX30">
        <f>68-25</f>
        <v>43</v>
      </c>
      <c r="AY30">
        <v>39</v>
      </c>
      <c r="AZ30">
        <f t="shared" si="2"/>
        <v>32</v>
      </c>
      <c r="BB30">
        <v>60</v>
      </c>
      <c r="BC30" t="s">
        <v>100</v>
      </c>
      <c r="BD30">
        <v>62</v>
      </c>
      <c r="BE30">
        <f>(BD30+BB30)/2</f>
        <v>61</v>
      </c>
      <c r="BF30">
        <v>25</v>
      </c>
    </row>
    <row r="31" spans="1:58">
      <c r="A31">
        <v>26</v>
      </c>
      <c r="B31" t="s">
        <v>101</v>
      </c>
      <c r="C31">
        <v>3</v>
      </c>
      <c r="D31">
        <v>1</v>
      </c>
      <c r="E31">
        <v>3</v>
      </c>
      <c r="F31">
        <v>7</v>
      </c>
      <c r="H31">
        <v>26</v>
      </c>
      <c r="I31" t="s">
        <v>75</v>
      </c>
      <c r="J31">
        <v>4</v>
      </c>
      <c r="K31">
        <v>1</v>
      </c>
      <c r="L31">
        <v>3</v>
      </c>
      <c r="M31">
        <v>8</v>
      </c>
      <c r="N31">
        <v>-8</v>
      </c>
      <c r="P31">
        <v>26</v>
      </c>
      <c r="Q31" t="s">
        <v>79</v>
      </c>
      <c r="R31">
        <v>4</v>
      </c>
      <c r="S31">
        <v>0</v>
      </c>
      <c r="T31">
        <v>3</v>
      </c>
      <c r="U31">
        <f t="shared" si="0"/>
        <v>15</v>
      </c>
      <c r="V31">
        <f>19-26</f>
        <v>-7</v>
      </c>
      <c r="X31">
        <v>26</v>
      </c>
      <c r="Y31" t="s">
        <v>72</v>
      </c>
      <c r="Z31">
        <v>2</v>
      </c>
      <c r="AA31">
        <v>2</v>
      </c>
      <c r="AB31">
        <v>5</v>
      </c>
      <c r="AC31" s="6">
        <f t="shared" si="3"/>
        <v>9</v>
      </c>
      <c r="AF31">
        <v>26</v>
      </c>
      <c r="AG31" t="s">
        <v>101</v>
      </c>
      <c r="AH31">
        <v>3</v>
      </c>
      <c r="AI31">
        <v>1</v>
      </c>
      <c r="AJ31">
        <v>3</v>
      </c>
      <c r="AM31" s="2">
        <v>7</v>
      </c>
      <c r="AO31">
        <v>26</v>
      </c>
      <c r="AP31" t="s">
        <v>40</v>
      </c>
      <c r="AQ31">
        <v>14</v>
      </c>
      <c r="AR31">
        <v>22</v>
      </c>
      <c r="AS31">
        <v>29</v>
      </c>
      <c r="AT31" s="3">
        <v>65138232</v>
      </c>
      <c r="AU31" s="2">
        <f>AT31/(SUM(AQ31:AS31))</f>
        <v>1002126.64615385</v>
      </c>
      <c r="AV31" s="9">
        <f>AW31*100/AT31</f>
        <v>9.97877866872408e-5</v>
      </c>
      <c r="AW31">
        <v>65</v>
      </c>
      <c r="AX31">
        <f>7-26</f>
        <v>-19</v>
      </c>
      <c r="AY31">
        <v>3</v>
      </c>
      <c r="AZ31">
        <f t="shared" si="2"/>
        <v>14.5</v>
      </c>
      <c r="BB31">
        <v>59</v>
      </c>
      <c r="BC31" t="s">
        <v>102</v>
      </c>
      <c r="BD31">
        <v>61</v>
      </c>
      <c r="BE31">
        <f>(BD31+BB31)/2</f>
        <v>60</v>
      </c>
      <c r="BF31">
        <v>26</v>
      </c>
    </row>
    <row r="32" spans="1:58">
      <c r="A32">
        <v>27</v>
      </c>
      <c r="B32" t="s">
        <v>103</v>
      </c>
      <c r="C32">
        <v>3</v>
      </c>
      <c r="D32">
        <v>1</v>
      </c>
      <c r="E32">
        <v>1</v>
      </c>
      <c r="F32">
        <v>5</v>
      </c>
      <c r="H32">
        <v>27</v>
      </c>
      <c r="I32" t="s">
        <v>104</v>
      </c>
      <c r="J32">
        <v>1</v>
      </c>
      <c r="K32">
        <v>2</v>
      </c>
      <c r="L32">
        <v>5</v>
      </c>
      <c r="M32">
        <v>8</v>
      </c>
      <c r="N32">
        <v>21</v>
      </c>
      <c r="P32">
        <v>27</v>
      </c>
      <c r="Q32" t="s">
        <v>72</v>
      </c>
      <c r="R32">
        <v>2</v>
      </c>
      <c r="S32">
        <v>2</v>
      </c>
      <c r="T32">
        <v>5</v>
      </c>
      <c r="U32">
        <f t="shared" si="0"/>
        <v>15</v>
      </c>
      <c r="V32">
        <f>29-27</f>
        <v>2</v>
      </c>
      <c r="X32">
        <v>27</v>
      </c>
      <c r="Y32" t="s">
        <v>98</v>
      </c>
      <c r="Z32">
        <v>2</v>
      </c>
      <c r="AA32">
        <v>1</v>
      </c>
      <c r="AB32">
        <v>6</v>
      </c>
      <c r="AC32" s="6">
        <f t="shared" si="3"/>
        <v>9</v>
      </c>
      <c r="AF32">
        <v>27</v>
      </c>
      <c r="AG32" t="s">
        <v>103</v>
      </c>
      <c r="AH32">
        <v>3</v>
      </c>
      <c r="AI32">
        <v>1</v>
      </c>
      <c r="AJ32">
        <v>1</v>
      </c>
      <c r="AM32" s="2">
        <v>5</v>
      </c>
      <c r="AO32">
        <v>27</v>
      </c>
      <c r="AP32" t="s">
        <v>101</v>
      </c>
      <c r="AQ32">
        <v>3</v>
      </c>
      <c r="AR32">
        <v>1</v>
      </c>
      <c r="AS32">
        <v>3</v>
      </c>
      <c r="AT32" s="3">
        <v>7177991</v>
      </c>
      <c r="AV32" s="9">
        <f>AW32*100/AT32</f>
        <v>9.75203228870028e-5</v>
      </c>
      <c r="AW32">
        <v>7</v>
      </c>
      <c r="AX32">
        <f>26-26</f>
        <v>0</v>
      </c>
      <c r="AY32">
        <v>33</v>
      </c>
      <c r="AZ32">
        <f t="shared" si="2"/>
        <v>30</v>
      </c>
      <c r="BB32">
        <v>75</v>
      </c>
      <c r="BC32" t="s">
        <v>105</v>
      </c>
      <c r="BD32">
        <v>42</v>
      </c>
      <c r="BE32">
        <f>(BD32+BB32)/2</f>
        <v>58.5</v>
      </c>
      <c r="BF32">
        <v>27</v>
      </c>
    </row>
    <row r="33" spans="1:58">
      <c r="A33">
        <v>28</v>
      </c>
      <c r="B33" t="s">
        <v>106</v>
      </c>
      <c r="C33">
        <v>3</v>
      </c>
      <c r="D33">
        <v>0</v>
      </c>
      <c r="E33">
        <v>2</v>
      </c>
      <c r="F33">
        <v>5</v>
      </c>
      <c r="H33">
        <v>28</v>
      </c>
      <c r="I33" t="s">
        <v>107</v>
      </c>
      <c r="J33">
        <v>1</v>
      </c>
      <c r="K33">
        <v>1</v>
      </c>
      <c r="L33">
        <v>6</v>
      </c>
      <c r="M33">
        <v>8</v>
      </c>
      <c r="N33">
        <v>23</v>
      </c>
      <c r="P33">
        <v>28</v>
      </c>
      <c r="Q33" t="s">
        <v>101</v>
      </c>
      <c r="R33">
        <v>3</v>
      </c>
      <c r="S33">
        <v>1</v>
      </c>
      <c r="T33">
        <v>3</v>
      </c>
      <c r="U33">
        <f t="shared" si="0"/>
        <v>14</v>
      </c>
      <c r="V33">
        <f>26-28</f>
        <v>-2</v>
      </c>
      <c r="X33">
        <v>28</v>
      </c>
      <c r="Y33" t="s">
        <v>104</v>
      </c>
      <c r="Z33">
        <v>1</v>
      </c>
      <c r="AA33">
        <v>2</v>
      </c>
      <c r="AB33">
        <v>5</v>
      </c>
      <c r="AC33" s="6">
        <f t="shared" si="3"/>
        <v>8</v>
      </c>
      <c r="AF33">
        <v>28</v>
      </c>
      <c r="AG33" t="s">
        <v>106</v>
      </c>
      <c r="AH33">
        <v>3</v>
      </c>
      <c r="AI33">
        <v>0</v>
      </c>
      <c r="AJ33">
        <v>2</v>
      </c>
      <c r="AM33" s="2">
        <v>5</v>
      </c>
      <c r="AO33">
        <v>28</v>
      </c>
      <c r="AP33" t="s">
        <v>104</v>
      </c>
      <c r="AQ33">
        <v>1</v>
      </c>
      <c r="AR33">
        <v>2</v>
      </c>
      <c r="AS33">
        <v>5</v>
      </c>
      <c r="AT33" s="3">
        <v>8286976</v>
      </c>
      <c r="AV33" s="9">
        <f>AW33*100/AT33</f>
        <v>9.65370238793982e-5</v>
      </c>
      <c r="AW33">
        <v>8</v>
      </c>
      <c r="AX33">
        <f>48-28</f>
        <v>20</v>
      </c>
      <c r="AY33">
        <v>27</v>
      </c>
      <c r="AZ33">
        <f t="shared" si="2"/>
        <v>27.5</v>
      </c>
      <c r="BB33">
        <v>43</v>
      </c>
      <c r="BC33" t="s">
        <v>108</v>
      </c>
      <c r="BD33">
        <v>72</v>
      </c>
      <c r="BE33">
        <f>(BD33+BB33)/2</f>
        <v>57.5</v>
      </c>
      <c r="BF33">
        <v>28</v>
      </c>
    </row>
    <row r="34" spans="1:58">
      <c r="A34">
        <v>29</v>
      </c>
      <c r="B34" t="s">
        <v>72</v>
      </c>
      <c r="C34">
        <v>2</v>
      </c>
      <c r="D34">
        <v>2</v>
      </c>
      <c r="E34">
        <v>5</v>
      </c>
      <c r="F34">
        <v>9</v>
      </c>
      <c r="H34">
        <v>29</v>
      </c>
      <c r="I34" t="s">
        <v>109</v>
      </c>
      <c r="J34">
        <v>0</v>
      </c>
      <c r="K34">
        <v>3</v>
      </c>
      <c r="L34">
        <v>5</v>
      </c>
      <c r="M34">
        <v>8</v>
      </c>
      <c r="N34">
        <v>35</v>
      </c>
      <c r="P34">
        <v>29</v>
      </c>
      <c r="Q34" t="s">
        <v>98</v>
      </c>
      <c r="R34">
        <v>2</v>
      </c>
      <c r="S34">
        <v>1</v>
      </c>
      <c r="T34">
        <v>6</v>
      </c>
      <c r="U34">
        <f t="shared" si="0"/>
        <v>14</v>
      </c>
      <c r="V34">
        <f>32-29</f>
        <v>3</v>
      </c>
      <c r="X34">
        <v>29</v>
      </c>
      <c r="Y34" t="s">
        <v>107</v>
      </c>
      <c r="Z34">
        <v>1</v>
      </c>
      <c r="AA34">
        <v>1</v>
      </c>
      <c r="AB34">
        <v>6</v>
      </c>
      <c r="AC34" s="6">
        <f t="shared" si="3"/>
        <v>8</v>
      </c>
      <c r="AF34">
        <v>29</v>
      </c>
      <c r="AG34" t="s">
        <v>72</v>
      </c>
      <c r="AH34">
        <v>2</v>
      </c>
      <c r="AI34">
        <v>2</v>
      </c>
      <c r="AJ34">
        <v>5</v>
      </c>
      <c r="AM34" s="2">
        <v>9</v>
      </c>
      <c r="AO34">
        <v>29</v>
      </c>
      <c r="AP34" t="s">
        <v>36</v>
      </c>
      <c r="AQ34">
        <v>16</v>
      </c>
      <c r="AR34">
        <v>26</v>
      </c>
      <c r="AS34">
        <v>22</v>
      </c>
      <c r="AT34" s="3">
        <v>66808385</v>
      </c>
      <c r="AU34" s="2">
        <f>AT34/(SUM(AQ34:AS34))</f>
        <v>1043881.015625</v>
      </c>
      <c r="AV34" s="9">
        <f>AW34*100/AT34</f>
        <v>9.57963584960181e-5</v>
      </c>
      <c r="AW34">
        <v>64</v>
      </c>
      <c r="AX34">
        <f>5-29</f>
        <v>-24</v>
      </c>
      <c r="AY34">
        <v>4</v>
      </c>
      <c r="AZ34">
        <f t="shared" si="2"/>
        <v>16.5</v>
      </c>
      <c r="BB34">
        <v>55</v>
      </c>
      <c r="BC34" t="s">
        <v>110</v>
      </c>
      <c r="BD34">
        <v>60</v>
      </c>
      <c r="BE34">
        <f>(BD34+BB34)/2</f>
        <v>57.5</v>
      </c>
      <c r="BF34">
        <v>29</v>
      </c>
    </row>
    <row r="35" spans="1:58">
      <c r="A35">
        <v>30</v>
      </c>
      <c r="B35" t="s">
        <v>111</v>
      </c>
      <c r="C35">
        <v>2</v>
      </c>
      <c r="D35">
        <v>2</v>
      </c>
      <c r="E35">
        <v>3</v>
      </c>
      <c r="F35">
        <v>7</v>
      </c>
      <c r="H35">
        <v>30</v>
      </c>
      <c r="I35" t="s">
        <v>79</v>
      </c>
      <c r="J35">
        <v>4</v>
      </c>
      <c r="K35">
        <v>0</v>
      </c>
      <c r="L35">
        <v>3</v>
      </c>
      <c r="M35">
        <v>7</v>
      </c>
      <c r="N35">
        <f>19-29</f>
        <v>-10</v>
      </c>
      <c r="P35">
        <v>30</v>
      </c>
      <c r="Q35" t="s">
        <v>112</v>
      </c>
      <c r="R35">
        <v>1</v>
      </c>
      <c r="S35">
        <v>5</v>
      </c>
      <c r="T35">
        <v>1</v>
      </c>
      <c r="U35">
        <f t="shared" si="0"/>
        <v>14</v>
      </c>
      <c r="V35">
        <f>41-30</f>
        <v>11</v>
      </c>
      <c r="X35">
        <v>30</v>
      </c>
      <c r="Y35" t="s">
        <v>109</v>
      </c>
      <c r="Z35">
        <v>0</v>
      </c>
      <c r="AA35">
        <v>3</v>
      </c>
      <c r="AB35">
        <v>5</v>
      </c>
      <c r="AC35" s="6">
        <f t="shared" si="3"/>
        <v>8</v>
      </c>
      <c r="AF35">
        <v>30</v>
      </c>
      <c r="AG35" t="s">
        <v>111</v>
      </c>
      <c r="AH35">
        <v>2</v>
      </c>
      <c r="AI35">
        <v>2</v>
      </c>
      <c r="AJ35">
        <v>3</v>
      </c>
      <c r="AM35" s="2">
        <v>7</v>
      </c>
      <c r="AO35">
        <v>30</v>
      </c>
      <c r="AP35" t="s">
        <v>88</v>
      </c>
      <c r="AQ35">
        <v>3</v>
      </c>
      <c r="AR35">
        <v>1</v>
      </c>
      <c r="AS35">
        <v>6</v>
      </c>
      <c r="AT35" s="3">
        <v>11285721</v>
      </c>
      <c r="AU35" s="2"/>
      <c r="AV35" s="9">
        <f>AW35*100/AT35</f>
        <v>8.86075422208293e-5</v>
      </c>
      <c r="AW35">
        <v>10</v>
      </c>
      <c r="AX35">
        <f>25-30</f>
        <v>-5</v>
      </c>
      <c r="AY35">
        <v>21</v>
      </c>
      <c r="AZ35">
        <f t="shared" si="2"/>
        <v>25.5</v>
      </c>
      <c r="BB35">
        <v>32</v>
      </c>
      <c r="BC35" t="s">
        <v>113</v>
      </c>
      <c r="BD35">
        <v>82</v>
      </c>
      <c r="BE35">
        <f>(BD35+BB35)/2</f>
        <v>57</v>
      </c>
      <c r="BF35">
        <v>30</v>
      </c>
    </row>
    <row r="36" spans="2:58">
      <c r="B36" t="s">
        <v>70</v>
      </c>
      <c r="C36">
        <v>2</v>
      </c>
      <c r="D36">
        <v>2</v>
      </c>
      <c r="E36">
        <v>3</v>
      </c>
      <c r="F36">
        <v>7</v>
      </c>
      <c r="H36">
        <v>31</v>
      </c>
      <c r="I36" t="s">
        <v>68</v>
      </c>
      <c r="J36">
        <v>3</v>
      </c>
      <c r="K36">
        <v>3</v>
      </c>
      <c r="L36">
        <v>1</v>
      </c>
      <c r="M36">
        <v>7</v>
      </c>
      <c r="N36">
        <f>24-31</f>
        <v>-7</v>
      </c>
      <c r="P36">
        <v>31</v>
      </c>
      <c r="Q36" t="s">
        <v>111</v>
      </c>
      <c r="R36">
        <v>2</v>
      </c>
      <c r="S36">
        <v>2</v>
      </c>
      <c r="T36">
        <v>3</v>
      </c>
      <c r="U36">
        <f t="shared" si="0"/>
        <v>13</v>
      </c>
      <c r="V36">
        <f>30-31</f>
        <v>-1</v>
      </c>
      <c r="X36">
        <v>31</v>
      </c>
      <c r="Y36" t="s">
        <v>68</v>
      </c>
      <c r="Z36">
        <v>3</v>
      </c>
      <c r="AA36">
        <v>3</v>
      </c>
      <c r="AB36">
        <v>1</v>
      </c>
      <c r="AC36" s="6">
        <f t="shared" si="3"/>
        <v>7</v>
      </c>
      <c r="AG36" t="s">
        <v>70</v>
      </c>
      <c r="AH36">
        <v>2</v>
      </c>
      <c r="AI36">
        <v>2</v>
      </c>
      <c r="AJ36">
        <v>3</v>
      </c>
      <c r="AM36" s="2">
        <v>7</v>
      </c>
      <c r="AO36">
        <v>31</v>
      </c>
      <c r="AP36" t="s">
        <v>114</v>
      </c>
      <c r="AQ36">
        <v>1</v>
      </c>
      <c r="AR36">
        <v>1</v>
      </c>
      <c r="AS36">
        <v>0</v>
      </c>
      <c r="AT36" s="3">
        <v>2262485</v>
      </c>
      <c r="AV36" s="9">
        <f>AW36*100/AT36</f>
        <v>8.83983761218306e-5</v>
      </c>
      <c r="AW36">
        <v>2</v>
      </c>
      <c r="AX36">
        <f>55-31</f>
        <v>24</v>
      </c>
      <c r="AY36">
        <v>70</v>
      </c>
      <c r="AZ36">
        <f t="shared" si="2"/>
        <v>50.5</v>
      </c>
      <c r="BB36">
        <v>72</v>
      </c>
      <c r="BC36" t="s">
        <v>115</v>
      </c>
      <c r="BD36">
        <v>41</v>
      </c>
      <c r="BE36">
        <f>(BD36+BB36)/2</f>
        <v>56.5</v>
      </c>
      <c r="BF36">
        <v>31</v>
      </c>
    </row>
    <row r="37" spans="1:58">
      <c r="A37">
        <v>32</v>
      </c>
      <c r="B37" t="s">
        <v>98</v>
      </c>
      <c r="C37">
        <v>2</v>
      </c>
      <c r="D37">
        <v>1</v>
      </c>
      <c r="E37">
        <v>6</v>
      </c>
      <c r="F37">
        <v>9</v>
      </c>
      <c r="H37">
        <v>32</v>
      </c>
      <c r="I37" t="s">
        <v>101</v>
      </c>
      <c r="J37">
        <v>3</v>
      </c>
      <c r="K37">
        <v>1</v>
      </c>
      <c r="L37">
        <v>3</v>
      </c>
      <c r="M37">
        <v>7</v>
      </c>
      <c r="N37">
        <f>26-32</f>
        <v>-6</v>
      </c>
      <c r="P37">
        <v>32</v>
      </c>
      <c r="Q37" t="s">
        <v>70</v>
      </c>
      <c r="R37">
        <v>2</v>
      </c>
      <c r="S37">
        <v>2</v>
      </c>
      <c r="T37">
        <v>3</v>
      </c>
      <c r="U37">
        <f t="shared" si="0"/>
        <v>13</v>
      </c>
      <c r="V37">
        <f>31-32</f>
        <v>-1</v>
      </c>
      <c r="X37">
        <v>32</v>
      </c>
      <c r="Y37" t="s">
        <v>101</v>
      </c>
      <c r="Z37">
        <v>3</v>
      </c>
      <c r="AA37">
        <v>1</v>
      </c>
      <c r="AB37">
        <v>3</v>
      </c>
      <c r="AC37" s="6">
        <f t="shared" si="3"/>
        <v>7</v>
      </c>
      <c r="AF37">
        <v>32</v>
      </c>
      <c r="AG37" t="s">
        <v>98</v>
      </c>
      <c r="AH37">
        <v>2</v>
      </c>
      <c r="AI37">
        <v>1</v>
      </c>
      <c r="AJ37">
        <v>6</v>
      </c>
      <c r="AM37" s="2">
        <v>9</v>
      </c>
      <c r="AO37">
        <v>32</v>
      </c>
      <c r="AP37" t="s">
        <v>113</v>
      </c>
      <c r="AQ37">
        <v>0</v>
      </c>
      <c r="AR37">
        <v>1</v>
      </c>
      <c r="AS37">
        <v>0</v>
      </c>
      <c r="AT37" s="3">
        <v>1165300</v>
      </c>
      <c r="AU37" s="2"/>
      <c r="AV37" s="9">
        <f>AW37*100/AT37</f>
        <v>8.58148116364885e-5</v>
      </c>
      <c r="AW37">
        <v>1</v>
      </c>
      <c r="AX37">
        <f>74-32</f>
        <v>42</v>
      </c>
      <c r="AY37">
        <v>82</v>
      </c>
      <c r="AZ37">
        <f t="shared" si="2"/>
        <v>57</v>
      </c>
      <c r="BB37">
        <v>39</v>
      </c>
      <c r="BC37" t="s">
        <v>116</v>
      </c>
      <c r="BD37">
        <v>71</v>
      </c>
      <c r="BE37">
        <f>(BD37+BB37)/2</f>
        <v>55</v>
      </c>
      <c r="BF37">
        <v>32</v>
      </c>
    </row>
    <row r="38" spans="1:58">
      <c r="A38">
        <v>33</v>
      </c>
      <c r="B38" t="s">
        <v>53</v>
      </c>
      <c r="C38">
        <v>2</v>
      </c>
      <c r="D38">
        <v>1</v>
      </c>
      <c r="E38">
        <v>1</v>
      </c>
      <c r="F38">
        <v>4</v>
      </c>
      <c r="H38">
        <v>33</v>
      </c>
      <c r="I38" t="s">
        <v>111</v>
      </c>
      <c r="J38">
        <v>2</v>
      </c>
      <c r="K38">
        <v>2</v>
      </c>
      <c r="L38">
        <v>3</v>
      </c>
      <c r="M38">
        <v>7</v>
      </c>
      <c r="N38">
        <f>30-33</f>
        <v>-3</v>
      </c>
      <c r="P38">
        <v>33</v>
      </c>
      <c r="Q38" t="s">
        <v>103</v>
      </c>
      <c r="R38">
        <v>3</v>
      </c>
      <c r="S38">
        <v>1</v>
      </c>
      <c r="T38">
        <v>1</v>
      </c>
      <c r="U38">
        <f t="shared" si="0"/>
        <v>12</v>
      </c>
      <c r="V38">
        <f>27-33</f>
        <v>-6</v>
      </c>
      <c r="X38">
        <v>33</v>
      </c>
      <c r="Y38" t="s">
        <v>111</v>
      </c>
      <c r="Z38">
        <v>2</v>
      </c>
      <c r="AA38">
        <v>2</v>
      </c>
      <c r="AB38">
        <v>3</v>
      </c>
      <c r="AC38" s="6">
        <f t="shared" si="3"/>
        <v>7</v>
      </c>
      <c r="AF38">
        <v>33</v>
      </c>
      <c r="AG38" t="s">
        <v>53</v>
      </c>
      <c r="AH38">
        <v>2</v>
      </c>
      <c r="AI38">
        <v>1</v>
      </c>
      <c r="AJ38">
        <v>1</v>
      </c>
      <c r="AM38" s="2">
        <v>4</v>
      </c>
      <c r="AO38">
        <v>33</v>
      </c>
      <c r="AP38" t="s">
        <v>112</v>
      </c>
      <c r="AQ38">
        <v>1</v>
      </c>
      <c r="AR38">
        <v>5</v>
      </c>
      <c r="AS38">
        <v>1</v>
      </c>
      <c r="AT38" s="3">
        <v>8380400</v>
      </c>
      <c r="AU38" s="2"/>
      <c r="AV38" s="9">
        <f>AW38*100/AT38</f>
        <v>8.35282325425994e-5</v>
      </c>
      <c r="AW38">
        <v>7</v>
      </c>
      <c r="AX38">
        <f>41-33</f>
        <v>8</v>
      </c>
      <c r="AY38">
        <v>34</v>
      </c>
      <c r="AZ38">
        <f t="shared" si="2"/>
        <v>33.5</v>
      </c>
      <c r="BB38">
        <v>53</v>
      </c>
      <c r="BC38" t="s">
        <v>117</v>
      </c>
      <c r="BD38">
        <v>55</v>
      </c>
      <c r="BE38">
        <f>(BD38+BB38)/2</f>
        <v>54</v>
      </c>
      <c r="BF38">
        <v>33</v>
      </c>
    </row>
    <row r="39" spans="1:58">
      <c r="A39">
        <v>34</v>
      </c>
      <c r="B39" t="s">
        <v>82</v>
      </c>
      <c r="C39">
        <v>2</v>
      </c>
      <c r="D39">
        <v>1</v>
      </c>
      <c r="E39">
        <v>0</v>
      </c>
      <c r="F39">
        <v>3</v>
      </c>
      <c r="H39">
        <v>34</v>
      </c>
      <c r="I39" t="s">
        <v>70</v>
      </c>
      <c r="J39">
        <v>2</v>
      </c>
      <c r="K39">
        <v>2</v>
      </c>
      <c r="L39">
        <v>3</v>
      </c>
      <c r="M39">
        <v>7</v>
      </c>
      <c r="N39">
        <f>31-34</f>
        <v>-3</v>
      </c>
      <c r="P39">
        <v>34</v>
      </c>
      <c r="Q39" t="s">
        <v>118</v>
      </c>
      <c r="R39">
        <v>1</v>
      </c>
      <c r="S39">
        <v>3</v>
      </c>
      <c r="T39">
        <v>3</v>
      </c>
      <c r="U39">
        <f t="shared" si="0"/>
        <v>12</v>
      </c>
      <c r="V39">
        <f>34-30</f>
        <v>4</v>
      </c>
      <c r="X39">
        <v>34</v>
      </c>
      <c r="Y39" t="s">
        <v>70</v>
      </c>
      <c r="Z39">
        <v>2</v>
      </c>
      <c r="AA39">
        <v>2</v>
      </c>
      <c r="AB39">
        <v>3</v>
      </c>
      <c r="AC39" s="6">
        <f t="shared" si="3"/>
        <v>7</v>
      </c>
      <c r="AF39">
        <v>34</v>
      </c>
      <c r="AG39" t="s">
        <v>82</v>
      </c>
      <c r="AH39">
        <v>2</v>
      </c>
      <c r="AI39">
        <v>1</v>
      </c>
      <c r="AJ39">
        <v>0</v>
      </c>
      <c r="AM39" s="2">
        <v>3</v>
      </c>
      <c r="AO39">
        <v>34</v>
      </c>
      <c r="AP39" t="s">
        <v>98</v>
      </c>
      <c r="AQ39">
        <v>2</v>
      </c>
      <c r="AR39">
        <v>1</v>
      </c>
      <c r="AS39">
        <v>6</v>
      </c>
      <c r="AT39" s="3">
        <v>11389562</v>
      </c>
      <c r="AV39" s="9">
        <f>AW39*100/AT39</f>
        <v>7.90197199857203e-5</v>
      </c>
      <c r="AW39">
        <v>9</v>
      </c>
      <c r="AX39">
        <f>32-33</f>
        <v>-1</v>
      </c>
      <c r="AY39">
        <v>24</v>
      </c>
      <c r="AZ39">
        <f t="shared" ref="AZ39:AZ70" si="4">(AY39+AO39)/2</f>
        <v>29</v>
      </c>
      <c r="BB39">
        <v>24</v>
      </c>
      <c r="BC39" t="s">
        <v>96</v>
      </c>
      <c r="BD39">
        <v>81</v>
      </c>
      <c r="BE39">
        <f>(BD39+BB39)/2</f>
        <v>52.5</v>
      </c>
      <c r="BF39">
        <v>34</v>
      </c>
    </row>
    <row r="40" spans="1:58">
      <c r="A40">
        <v>35</v>
      </c>
      <c r="B40" t="s">
        <v>119</v>
      </c>
      <c r="C40">
        <v>2</v>
      </c>
      <c r="D40">
        <v>0</v>
      </c>
      <c r="E40">
        <v>5</v>
      </c>
      <c r="F40">
        <v>7</v>
      </c>
      <c r="H40">
        <v>35</v>
      </c>
      <c r="I40" t="s">
        <v>119</v>
      </c>
      <c r="J40">
        <v>2</v>
      </c>
      <c r="K40">
        <v>0</v>
      </c>
      <c r="L40">
        <v>5</v>
      </c>
      <c r="M40">
        <v>7</v>
      </c>
      <c r="P40">
        <v>35</v>
      </c>
      <c r="Q40" t="s">
        <v>104</v>
      </c>
      <c r="R40">
        <v>1</v>
      </c>
      <c r="S40">
        <v>2</v>
      </c>
      <c r="T40">
        <v>5</v>
      </c>
      <c r="U40">
        <f t="shared" si="0"/>
        <v>12</v>
      </c>
      <c r="V40">
        <f>48-35</f>
        <v>13</v>
      </c>
      <c r="X40">
        <v>35</v>
      </c>
      <c r="Y40" t="s">
        <v>119</v>
      </c>
      <c r="Z40">
        <v>2</v>
      </c>
      <c r="AA40">
        <v>0</v>
      </c>
      <c r="AB40">
        <v>5</v>
      </c>
      <c r="AC40" s="6">
        <f t="shared" si="3"/>
        <v>7</v>
      </c>
      <c r="AF40">
        <v>35</v>
      </c>
      <c r="AG40" t="s">
        <v>119</v>
      </c>
      <c r="AH40">
        <v>2</v>
      </c>
      <c r="AI40">
        <v>0</v>
      </c>
      <c r="AJ40">
        <v>5</v>
      </c>
      <c r="AM40" s="2">
        <v>7</v>
      </c>
      <c r="AO40">
        <v>35</v>
      </c>
      <c r="AP40" t="s">
        <v>61</v>
      </c>
      <c r="AQ40">
        <v>9</v>
      </c>
      <c r="AR40">
        <v>7</v>
      </c>
      <c r="AS40">
        <v>11</v>
      </c>
      <c r="AT40" s="3">
        <v>35851774</v>
      </c>
      <c r="AU40" s="2">
        <f>AT40/(SUM(AQ40:AS40))</f>
        <v>1327843.48148148</v>
      </c>
      <c r="AV40" s="9">
        <f>AW40*100/AT40</f>
        <v>7.5310080890279e-5</v>
      </c>
      <c r="AW40">
        <v>27</v>
      </c>
      <c r="AX40">
        <f>12-34</f>
        <v>-22</v>
      </c>
      <c r="AY40">
        <v>11</v>
      </c>
      <c r="AZ40">
        <f t="shared" si="4"/>
        <v>23</v>
      </c>
      <c r="BB40">
        <v>57</v>
      </c>
      <c r="BC40" t="s">
        <v>120</v>
      </c>
      <c r="BD40">
        <v>48</v>
      </c>
      <c r="BE40">
        <f>(BD40+BB40)/2</f>
        <v>52.5</v>
      </c>
      <c r="BF40">
        <v>35</v>
      </c>
    </row>
    <row r="41" spans="1:58">
      <c r="A41">
        <v>36</v>
      </c>
      <c r="B41" t="s">
        <v>121</v>
      </c>
      <c r="C41">
        <v>2</v>
      </c>
      <c r="D41">
        <v>0</v>
      </c>
      <c r="E41">
        <v>3</v>
      </c>
      <c r="F41">
        <v>5</v>
      </c>
      <c r="H41">
        <v>36</v>
      </c>
      <c r="I41" t="s">
        <v>112</v>
      </c>
      <c r="J41">
        <v>1</v>
      </c>
      <c r="K41">
        <v>5</v>
      </c>
      <c r="L41">
        <v>1</v>
      </c>
      <c r="M41">
        <v>7</v>
      </c>
      <c r="N41">
        <f>41-36</f>
        <v>5</v>
      </c>
      <c r="P41">
        <v>36</v>
      </c>
      <c r="Q41" t="s">
        <v>106</v>
      </c>
      <c r="R41">
        <v>3</v>
      </c>
      <c r="S41">
        <v>0</v>
      </c>
      <c r="T41">
        <v>2</v>
      </c>
      <c r="U41">
        <f t="shared" si="0"/>
        <v>11</v>
      </c>
      <c r="V41">
        <f>28-36</f>
        <v>-8</v>
      </c>
      <c r="X41">
        <v>36</v>
      </c>
      <c r="Y41" t="s">
        <v>112</v>
      </c>
      <c r="Z41">
        <v>1</v>
      </c>
      <c r="AA41">
        <v>5</v>
      </c>
      <c r="AB41">
        <v>1</v>
      </c>
      <c r="AC41" s="6">
        <f t="shared" si="3"/>
        <v>7</v>
      </c>
      <c r="AF41">
        <v>36</v>
      </c>
      <c r="AG41" t="s">
        <v>121</v>
      </c>
      <c r="AH41">
        <v>2</v>
      </c>
      <c r="AI41">
        <v>0</v>
      </c>
      <c r="AJ41">
        <v>3</v>
      </c>
      <c r="AM41" s="2">
        <v>5</v>
      </c>
      <c r="AO41">
        <v>36</v>
      </c>
      <c r="AP41" t="s">
        <v>107</v>
      </c>
      <c r="AQ41">
        <v>1</v>
      </c>
      <c r="AR41">
        <v>1</v>
      </c>
      <c r="AS41">
        <v>6</v>
      </c>
      <c r="AT41" s="3">
        <v>10823732</v>
      </c>
      <c r="AV41" s="9">
        <f>AW41*100/AT41</f>
        <v>7.39116600447979e-5</v>
      </c>
      <c r="AW41">
        <v>8</v>
      </c>
      <c r="AX41">
        <f>51-36</f>
        <v>15</v>
      </c>
      <c r="AY41">
        <v>28</v>
      </c>
      <c r="AZ41">
        <f t="shared" si="4"/>
        <v>32</v>
      </c>
      <c r="BB41">
        <v>65</v>
      </c>
      <c r="BC41" t="s">
        <v>122</v>
      </c>
      <c r="BD41">
        <v>40</v>
      </c>
      <c r="BE41">
        <f>(BD41+BB41)/2</f>
        <v>52.5</v>
      </c>
      <c r="BF41">
        <v>36</v>
      </c>
    </row>
    <row r="42" spans="1:58">
      <c r="A42">
        <v>37</v>
      </c>
      <c r="B42" t="s">
        <v>123</v>
      </c>
      <c r="C42">
        <v>2</v>
      </c>
      <c r="D42">
        <v>0</v>
      </c>
      <c r="E42">
        <v>2</v>
      </c>
      <c r="F42">
        <v>4</v>
      </c>
      <c r="H42">
        <v>37</v>
      </c>
      <c r="I42" t="s">
        <v>118</v>
      </c>
      <c r="J42">
        <v>1</v>
      </c>
      <c r="K42">
        <v>3</v>
      </c>
      <c r="L42">
        <v>3</v>
      </c>
      <c r="M42">
        <v>7</v>
      </c>
      <c r="N42">
        <f>43-37</f>
        <v>6</v>
      </c>
      <c r="P42">
        <v>37</v>
      </c>
      <c r="Q42" t="s">
        <v>119</v>
      </c>
      <c r="R42">
        <v>2</v>
      </c>
      <c r="S42">
        <v>0</v>
      </c>
      <c r="T42">
        <v>5</v>
      </c>
      <c r="U42">
        <f t="shared" si="0"/>
        <v>11</v>
      </c>
      <c r="V42">
        <f>35-37</f>
        <v>-2</v>
      </c>
      <c r="X42">
        <v>37</v>
      </c>
      <c r="Y42" t="s">
        <v>118</v>
      </c>
      <c r="Z42">
        <v>1</v>
      </c>
      <c r="AA42">
        <v>3</v>
      </c>
      <c r="AB42">
        <v>3</v>
      </c>
      <c r="AC42" s="6">
        <f t="shared" si="3"/>
        <v>7</v>
      </c>
      <c r="AF42">
        <v>37</v>
      </c>
      <c r="AG42" t="s">
        <v>123</v>
      </c>
      <c r="AH42">
        <v>2</v>
      </c>
      <c r="AI42">
        <v>0</v>
      </c>
      <c r="AJ42">
        <v>2</v>
      </c>
      <c r="AM42" s="2">
        <v>4</v>
      </c>
      <c r="AO42">
        <v>37</v>
      </c>
      <c r="AP42" t="s">
        <v>111</v>
      </c>
      <c r="AQ42">
        <v>2</v>
      </c>
      <c r="AR42">
        <v>2</v>
      </c>
      <c r="AS42">
        <v>3</v>
      </c>
      <c r="AT42" s="3">
        <v>9651349</v>
      </c>
      <c r="AV42" s="9">
        <f>AW42*100/AT42</f>
        <v>7.25287211145302e-5</v>
      </c>
      <c r="AW42">
        <v>7</v>
      </c>
      <c r="AX42">
        <f>30-37</f>
        <v>-7</v>
      </c>
      <c r="AY42">
        <v>35</v>
      </c>
      <c r="AZ42">
        <f t="shared" si="4"/>
        <v>36</v>
      </c>
      <c r="BB42">
        <v>73</v>
      </c>
      <c r="BC42" t="s">
        <v>109</v>
      </c>
      <c r="BD42">
        <v>29</v>
      </c>
      <c r="BE42">
        <f>(BD42+BB42)/2</f>
        <v>51</v>
      </c>
      <c r="BF42">
        <v>37</v>
      </c>
    </row>
    <row r="43" spans="2:58">
      <c r="B43" t="s">
        <v>73</v>
      </c>
      <c r="C43">
        <v>2</v>
      </c>
      <c r="D43">
        <v>0</v>
      </c>
      <c r="E43">
        <v>2</v>
      </c>
      <c r="F43">
        <v>4</v>
      </c>
      <c r="H43">
        <v>38</v>
      </c>
      <c r="I43" t="s">
        <v>57</v>
      </c>
      <c r="J43">
        <v>1</v>
      </c>
      <c r="K43">
        <v>3</v>
      </c>
      <c r="L43">
        <v>2</v>
      </c>
      <c r="M43">
        <v>6</v>
      </c>
      <c r="N43">
        <f>44-38</f>
        <v>6</v>
      </c>
      <c r="P43">
        <v>38</v>
      </c>
      <c r="Q43" t="s">
        <v>57</v>
      </c>
      <c r="R43">
        <v>1</v>
      </c>
      <c r="S43">
        <v>3</v>
      </c>
      <c r="T43">
        <v>2</v>
      </c>
      <c r="U43">
        <f t="shared" si="0"/>
        <v>11</v>
      </c>
      <c r="V43">
        <f>44-38</f>
        <v>6</v>
      </c>
      <c r="X43">
        <v>38</v>
      </c>
      <c r="Y43" t="s">
        <v>57</v>
      </c>
      <c r="Z43">
        <v>1</v>
      </c>
      <c r="AA43">
        <v>3</v>
      </c>
      <c r="AB43">
        <v>2</v>
      </c>
      <c r="AC43" s="6">
        <f t="shared" si="3"/>
        <v>6</v>
      </c>
      <c r="AG43" t="s">
        <v>73</v>
      </c>
      <c r="AH43">
        <v>2</v>
      </c>
      <c r="AI43">
        <v>0</v>
      </c>
      <c r="AJ43">
        <v>2</v>
      </c>
      <c r="AM43" s="2">
        <v>4</v>
      </c>
      <c r="AO43">
        <v>38</v>
      </c>
      <c r="AP43" t="s">
        <v>103</v>
      </c>
      <c r="AQ43">
        <v>3</v>
      </c>
      <c r="AR43">
        <v>1</v>
      </c>
      <c r="AS43">
        <v>1</v>
      </c>
      <c r="AT43" s="3">
        <v>7098247</v>
      </c>
      <c r="AU43" s="2"/>
      <c r="AV43" s="9">
        <f>AW43*100/AT43</f>
        <v>7.04399269284374e-5</v>
      </c>
      <c r="AW43">
        <v>5</v>
      </c>
      <c r="AX43">
        <f>27-37</f>
        <v>-10</v>
      </c>
      <c r="AY43">
        <v>45</v>
      </c>
      <c r="AZ43">
        <f t="shared" si="4"/>
        <v>41.5</v>
      </c>
      <c r="BB43">
        <v>31</v>
      </c>
      <c r="BC43" t="s">
        <v>114</v>
      </c>
      <c r="BD43">
        <v>70</v>
      </c>
      <c r="BE43">
        <f>(BD43+BB43)/2</f>
        <v>50.5</v>
      </c>
      <c r="BF43">
        <v>38</v>
      </c>
    </row>
    <row r="44" spans="1:58">
      <c r="A44">
        <v>39</v>
      </c>
      <c r="B44" t="s">
        <v>87</v>
      </c>
      <c r="C44">
        <v>2</v>
      </c>
      <c r="D44">
        <v>0</v>
      </c>
      <c r="E44">
        <v>1</v>
      </c>
      <c r="F44">
        <v>3</v>
      </c>
      <c r="H44">
        <v>39</v>
      </c>
      <c r="I44" t="s">
        <v>115</v>
      </c>
      <c r="J44">
        <v>1</v>
      </c>
      <c r="K44">
        <v>3</v>
      </c>
      <c r="L44">
        <v>2</v>
      </c>
      <c r="M44">
        <v>6</v>
      </c>
      <c r="N44">
        <f>45-39</f>
        <v>6</v>
      </c>
      <c r="P44">
        <v>39</v>
      </c>
      <c r="Q44" t="s">
        <v>115</v>
      </c>
      <c r="R44">
        <v>1</v>
      </c>
      <c r="S44">
        <v>3</v>
      </c>
      <c r="T44">
        <v>2</v>
      </c>
      <c r="U44">
        <f t="shared" si="0"/>
        <v>11</v>
      </c>
      <c r="V44">
        <f>45-39</f>
        <v>6</v>
      </c>
      <c r="X44">
        <v>39</v>
      </c>
      <c r="Y44" t="s">
        <v>115</v>
      </c>
      <c r="Z44">
        <v>1</v>
      </c>
      <c r="AA44">
        <v>3</v>
      </c>
      <c r="AB44">
        <v>2</v>
      </c>
      <c r="AC44" s="6">
        <f t="shared" si="3"/>
        <v>6</v>
      </c>
      <c r="AF44">
        <v>39</v>
      </c>
      <c r="AG44" t="s">
        <v>87</v>
      </c>
      <c r="AH44">
        <v>2</v>
      </c>
      <c r="AI44">
        <v>0</v>
      </c>
      <c r="AJ44">
        <v>1</v>
      </c>
      <c r="AM44" s="2">
        <v>3</v>
      </c>
      <c r="AO44">
        <v>39</v>
      </c>
      <c r="AP44" t="s">
        <v>116</v>
      </c>
      <c r="AQ44">
        <v>0</v>
      </c>
      <c r="AR44">
        <v>0</v>
      </c>
      <c r="AS44">
        <v>2</v>
      </c>
      <c r="AT44" s="3">
        <v>2889167</v>
      </c>
      <c r="AU44" s="2"/>
      <c r="AV44" s="9">
        <f>AW44*100/AT44</f>
        <v>6.92241050794226e-5</v>
      </c>
      <c r="AW44">
        <v>2</v>
      </c>
      <c r="AX44">
        <f>80-39</f>
        <v>41</v>
      </c>
      <c r="AY44">
        <v>71</v>
      </c>
      <c r="AZ44">
        <f t="shared" si="4"/>
        <v>55</v>
      </c>
      <c r="BB44">
        <v>44</v>
      </c>
      <c r="BC44" t="s">
        <v>123</v>
      </c>
      <c r="BD44">
        <v>54</v>
      </c>
      <c r="BE44">
        <f>(BD44+BB44)/2</f>
        <v>49</v>
      </c>
      <c r="BF44">
        <v>39</v>
      </c>
    </row>
    <row r="45" spans="2:58">
      <c r="B45" t="s">
        <v>56</v>
      </c>
      <c r="C45">
        <v>2</v>
      </c>
      <c r="D45">
        <v>0</v>
      </c>
      <c r="E45">
        <v>1</v>
      </c>
      <c r="F45">
        <v>3</v>
      </c>
      <c r="H45">
        <v>40</v>
      </c>
      <c r="I45" t="s">
        <v>105</v>
      </c>
      <c r="J45">
        <v>1</v>
      </c>
      <c r="K45">
        <v>3</v>
      </c>
      <c r="L45">
        <v>2</v>
      </c>
      <c r="M45">
        <v>6</v>
      </c>
      <c r="N45">
        <f>46-40</f>
        <v>6</v>
      </c>
      <c r="P45">
        <v>40</v>
      </c>
      <c r="Q45" t="s">
        <v>105</v>
      </c>
      <c r="R45">
        <v>1</v>
      </c>
      <c r="S45">
        <v>3</v>
      </c>
      <c r="T45">
        <v>2</v>
      </c>
      <c r="U45">
        <f t="shared" si="0"/>
        <v>11</v>
      </c>
      <c r="V45">
        <f>46-40</f>
        <v>6</v>
      </c>
      <c r="X45">
        <v>40</v>
      </c>
      <c r="Y45" t="s">
        <v>105</v>
      </c>
      <c r="Z45">
        <v>1</v>
      </c>
      <c r="AA45">
        <v>3</v>
      </c>
      <c r="AB45">
        <v>2</v>
      </c>
      <c r="AC45" s="6">
        <f t="shared" si="3"/>
        <v>6</v>
      </c>
      <c r="AG45" t="s">
        <v>56</v>
      </c>
      <c r="AH45">
        <v>2</v>
      </c>
      <c r="AI45">
        <v>0</v>
      </c>
      <c r="AJ45">
        <v>1</v>
      </c>
      <c r="AM45" s="2">
        <v>3</v>
      </c>
      <c r="AO45">
        <v>40</v>
      </c>
      <c r="AP45" t="s">
        <v>51</v>
      </c>
      <c r="AQ45">
        <v>12</v>
      </c>
      <c r="AR45">
        <v>13</v>
      </c>
      <c r="AS45">
        <v>15</v>
      </c>
      <c r="AT45" s="3">
        <v>60802085</v>
      </c>
      <c r="AU45" s="2">
        <f>AT45/(SUM(AQ45:AS45))</f>
        <v>1520052.125</v>
      </c>
      <c r="AV45" s="9">
        <f>AW45*100/AT45</f>
        <v>6.57872176587365e-5</v>
      </c>
      <c r="AW45">
        <v>40</v>
      </c>
      <c r="AX45">
        <f>9-40</f>
        <v>-31</v>
      </c>
      <c r="AY45">
        <v>7</v>
      </c>
      <c r="AZ45">
        <f t="shared" si="4"/>
        <v>23.5</v>
      </c>
      <c r="BB45">
        <v>58</v>
      </c>
      <c r="BC45" t="s">
        <v>119</v>
      </c>
      <c r="BD45">
        <v>37</v>
      </c>
      <c r="BE45">
        <f>(BD45+BB45)/2</f>
        <v>47.5</v>
      </c>
      <c r="BF45">
        <v>40</v>
      </c>
    </row>
    <row r="46" spans="1:58">
      <c r="A46">
        <v>41</v>
      </c>
      <c r="B46" t="s">
        <v>112</v>
      </c>
      <c r="C46">
        <v>1</v>
      </c>
      <c r="D46">
        <v>5</v>
      </c>
      <c r="E46">
        <v>1</v>
      </c>
      <c r="F46">
        <v>7</v>
      </c>
      <c r="H46">
        <v>41</v>
      </c>
      <c r="I46" t="s">
        <v>99</v>
      </c>
      <c r="J46">
        <v>0</v>
      </c>
      <c r="K46">
        <v>2</v>
      </c>
      <c r="L46">
        <v>4</v>
      </c>
      <c r="M46">
        <v>6</v>
      </c>
      <c r="N46">
        <f>68-41</f>
        <v>27</v>
      </c>
      <c r="P46">
        <v>41</v>
      </c>
      <c r="Q46" t="s">
        <v>107</v>
      </c>
      <c r="R46">
        <v>1</v>
      </c>
      <c r="S46">
        <v>1</v>
      </c>
      <c r="T46">
        <v>6</v>
      </c>
      <c r="U46">
        <f t="shared" si="0"/>
        <v>11</v>
      </c>
      <c r="V46">
        <f>51-41</f>
        <v>10</v>
      </c>
      <c r="X46">
        <v>41</v>
      </c>
      <c r="Y46" t="s">
        <v>99</v>
      </c>
      <c r="Z46">
        <v>0</v>
      </c>
      <c r="AA46">
        <v>2</v>
      </c>
      <c r="AB46">
        <v>4</v>
      </c>
      <c r="AC46" s="6">
        <f t="shared" si="3"/>
        <v>6</v>
      </c>
      <c r="AF46">
        <v>41</v>
      </c>
      <c r="AG46" t="s">
        <v>112</v>
      </c>
      <c r="AH46">
        <v>1</v>
      </c>
      <c r="AI46">
        <v>5</v>
      </c>
      <c r="AJ46">
        <v>1</v>
      </c>
      <c r="AM46" s="2">
        <v>7</v>
      </c>
      <c r="AO46">
        <v>41</v>
      </c>
      <c r="AP46" t="s">
        <v>55</v>
      </c>
      <c r="AQ46">
        <v>13</v>
      </c>
      <c r="AR46">
        <v>9</v>
      </c>
      <c r="AS46">
        <v>10</v>
      </c>
      <c r="AT46" s="3">
        <v>50617045</v>
      </c>
      <c r="AU46" s="2">
        <f>AT46/(SUM(AQ46:AS46))</f>
        <v>1581782.65625</v>
      </c>
      <c r="AV46" s="9">
        <f>AW46*100/AT46</f>
        <v>6.32198106388866e-5</v>
      </c>
      <c r="AW46">
        <v>32</v>
      </c>
      <c r="AX46">
        <f>8-41</f>
        <v>-33</v>
      </c>
      <c r="AY46">
        <v>10</v>
      </c>
      <c r="AZ46">
        <f t="shared" si="4"/>
        <v>25.5</v>
      </c>
      <c r="BB46">
        <v>12</v>
      </c>
      <c r="BC46" t="s">
        <v>65</v>
      </c>
      <c r="BD46">
        <v>80</v>
      </c>
      <c r="BE46">
        <f>(BD46+BB46)/2</f>
        <v>46</v>
      </c>
      <c r="BF46">
        <v>41</v>
      </c>
    </row>
    <row r="47" spans="1:58">
      <c r="A47">
        <v>42</v>
      </c>
      <c r="B47" t="s">
        <v>92</v>
      </c>
      <c r="C47">
        <v>1</v>
      </c>
      <c r="D47">
        <v>4</v>
      </c>
      <c r="E47">
        <v>5</v>
      </c>
      <c r="F47">
        <v>10</v>
      </c>
      <c r="H47">
        <v>42</v>
      </c>
      <c r="I47" t="s">
        <v>122</v>
      </c>
      <c r="J47">
        <v>0</v>
      </c>
      <c r="K47">
        <v>2</v>
      </c>
      <c r="L47">
        <v>4</v>
      </c>
      <c r="M47">
        <v>6</v>
      </c>
      <c r="N47">
        <f>69-42</f>
        <v>27</v>
      </c>
      <c r="P47">
        <v>42</v>
      </c>
      <c r="Q47" t="s">
        <v>109</v>
      </c>
      <c r="R47">
        <v>0</v>
      </c>
      <c r="S47">
        <v>3</v>
      </c>
      <c r="T47">
        <v>5</v>
      </c>
      <c r="U47">
        <f t="shared" si="0"/>
        <v>11</v>
      </c>
      <c r="V47">
        <f>64-42</f>
        <v>22</v>
      </c>
      <c r="X47">
        <v>42</v>
      </c>
      <c r="Y47" t="s">
        <v>122</v>
      </c>
      <c r="Z47">
        <v>0</v>
      </c>
      <c r="AA47">
        <v>2</v>
      </c>
      <c r="AB47">
        <v>4</v>
      </c>
      <c r="AC47" s="6">
        <f t="shared" si="3"/>
        <v>6</v>
      </c>
      <c r="AF47">
        <v>42</v>
      </c>
      <c r="AG47" t="s">
        <v>92</v>
      </c>
      <c r="AH47">
        <v>1</v>
      </c>
      <c r="AI47">
        <v>4</v>
      </c>
      <c r="AJ47">
        <v>5</v>
      </c>
      <c r="AM47" s="2">
        <v>10</v>
      </c>
      <c r="AO47">
        <v>42</v>
      </c>
      <c r="AP47" t="s">
        <v>121</v>
      </c>
      <c r="AQ47">
        <v>2</v>
      </c>
      <c r="AR47">
        <v>0</v>
      </c>
      <c r="AS47">
        <v>3</v>
      </c>
      <c r="AT47" s="3">
        <v>8611088</v>
      </c>
      <c r="AU47" s="2"/>
      <c r="AV47" s="9">
        <f>AW47*100/AT47</f>
        <v>5.80646719671196e-5</v>
      </c>
      <c r="AW47">
        <v>5</v>
      </c>
      <c r="AX47">
        <f>36-41</f>
        <v>-5</v>
      </c>
      <c r="AY47">
        <v>46</v>
      </c>
      <c r="AZ47">
        <f t="shared" si="4"/>
        <v>44</v>
      </c>
      <c r="BB47">
        <v>45</v>
      </c>
      <c r="BC47" t="s">
        <v>106</v>
      </c>
      <c r="BD47">
        <v>47</v>
      </c>
      <c r="BE47">
        <f>(BD47+BB47)/2</f>
        <v>46</v>
      </c>
      <c r="BF47">
        <v>42</v>
      </c>
    </row>
    <row r="48" spans="1:58">
      <c r="A48">
        <v>43</v>
      </c>
      <c r="B48" t="s">
        <v>118</v>
      </c>
      <c r="C48">
        <v>1</v>
      </c>
      <c r="D48">
        <v>3</v>
      </c>
      <c r="E48">
        <v>3</v>
      </c>
      <c r="F48">
        <v>7</v>
      </c>
      <c r="H48">
        <v>43</v>
      </c>
      <c r="I48" t="s">
        <v>94</v>
      </c>
      <c r="J48">
        <v>0</v>
      </c>
      <c r="K48">
        <v>1</v>
      </c>
      <c r="L48">
        <v>5</v>
      </c>
      <c r="M48">
        <v>6</v>
      </c>
      <c r="N48">
        <f>71-43</f>
        <v>28</v>
      </c>
      <c r="P48">
        <v>43</v>
      </c>
      <c r="Q48" t="s">
        <v>33</v>
      </c>
      <c r="R48">
        <v>1</v>
      </c>
      <c r="S48">
        <v>3</v>
      </c>
      <c r="T48">
        <v>1</v>
      </c>
      <c r="U48">
        <f t="shared" si="0"/>
        <v>10</v>
      </c>
      <c r="V48">
        <f>46-43</f>
        <v>3</v>
      </c>
      <c r="X48">
        <v>43</v>
      </c>
      <c r="Y48" t="s">
        <v>94</v>
      </c>
      <c r="Z48">
        <v>0</v>
      </c>
      <c r="AA48">
        <v>1</v>
      </c>
      <c r="AB48">
        <v>5</v>
      </c>
      <c r="AC48" s="6">
        <f t="shared" si="3"/>
        <v>6</v>
      </c>
      <c r="AF48">
        <v>43</v>
      </c>
      <c r="AG48" t="s">
        <v>118</v>
      </c>
      <c r="AH48">
        <v>1</v>
      </c>
      <c r="AI48">
        <v>3</v>
      </c>
      <c r="AJ48">
        <v>3</v>
      </c>
      <c r="AM48" s="2">
        <v>7</v>
      </c>
      <c r="AO48">
        <v>43</v>
      </c>
      <c r="AP48" t="s">
        <v>108</v>
      </c>
      <c r="AQ48">
        <v>0</v>
      </c>
      <c r="AR48">
        <v>0</v>
      </c>
      <c r="AS48">
        <v>2</v>
      </c>
      <c r="AT48" s="3">
        <v>3474182</v>
      </c>
      <c r="AU48" s="2"/>
      <c r="AV48" s="9">
        <f>AW48*100/AT48</f>
        <v>5.75675079774174e-5</v>
      </c>
      <c r="AW48">
        <v>2</v>
      </c>
      <c r="AX48">
        <f>83-43</f>
        <v>40</v>
      </c>
      <c r="AY48">
        <v>72</v>
      </c>
      <c r="AZ48">
        <f t="shared" si="4"/>
        <v>57.5</v>
      </c>
      <c r="BB48">
        <v>21</v>
      </c>
      <c r="BC48" t="s">
        <v>90</v>
      </c>
      <c r="BD48">
        <v>69</v>
      </c>
      <c r="BE48">
        <f>(BD48+BB48)/2</f>
        <v>45</v>
      </c>
      <c r="BF48">
        <v>43</v>
      </c>
    </row>
    <row r="49" spans="1:58">
      <c r="A49">
        <v>44</v>
      </c>
      <c r="B49" t="s">
        <v>57</v>
      </c>
      <c r="C49">
        <v>1</v>
      </c>
      <c r="D49">
        <v>3</v>
      </c>
      <c r="E49">
        <v>2</v>
      </c>
      <c r="F49">
        <v>6</v>
      </c>
      <c r="H49">
        <v>44</v>
      </c>
      <c r="I49" t="s">
        <v>103</v>
      </c>
      <c r="J49">
        <v>3</v>
      </c>
      <c r="K49">
        <v>1</v>
      </c>
      <c r="L49">
        <v>1</v>
      </c>
      <c r="M49">
        <v>5</v>
      </c>
      <c r="N49">
        <f>27-44</f>
        <v>-17</v>
      </c>
      <c r="P49">
        <v>44</v>
      </c>
      <c r="Q49" t="s">
        <v>53</v>
      </c>
      <c r="R49">
        <v>2</v>
      </c>
      <c r="S49">
        <v>1</v>
      </c>
      <c r="T49">
        <v>1</v>
      </c>
      <c r="U49">
        <f t="shared" si="0"/>
        <v>9</v>
      </c>
      <c r="V49">
        <f>33-44</f>
        <v>-11</v>
      </c>
      <c r="X49">
        <v>44</v>
      </c>
      <c r="Y49" t="s">
        <v>103</v>
      </c>
      <c r="Z49">
        <v>3</v>
      </c>
      <c r="AA49">
        <v>1</v>
      </c>
      <c r="AB49">
        <v>1</v>
      </c>
      <c r="AC49" s="6">
        <f t="shared" si="3"/>
        <v>5</v>
      </c>
      <c r="AF49">
        <v>44</v>
      </c>
      <c r="AG49" t="s">
        <v>57</v>
      </c>
      <c r="AH49">
        <v>1</v>
      </c>
      <c r="AI49">
        <v>3</v>
      </c>
      <c r="AJ49">
        <v>2</v>
      </c>
      <c r="AM49" s="2">
        <v>6</v>
      </c>
      <c r="AO49">
        <v>44</v>
      </c>
      <c r="AP49" t="s">
        <v>123</v>
      </c>
      <c r="AQ49">
        <v>2</v>
      </c>
      <c r="AR49">
        <v>0</v>
      </c>
      <c r="AS49">
        <v>2</v>
      </c>
      <c r="AT49" s="3">
        <v>7305700</v>
      </c>
      <c r="AU49" s="2"/>
      <c r="AV49" s="9">
        <f>AW49*100/AT49</f>
        <v>5.47517691665412e-5</v>
      </c>
      <c r="AW49">
        <v>4</v>
      </c>
      <c r="AX49">
        <f>37-44</f>
        <v>-7</v>
      </c>
      <c r="AY49">
        <v>54</v>
      </c>
      <c r="AZ49">
        <f t="shared" si="4"/>
        <v>49</v>
      </c>
      <c r="BB49">
        <v>42</v>
      </c>
      <c r="BC49" t="s">
        <v>121</v>
      </c>
      <c r="BD49">
        <v>46</v>
      </c>
      <c r="BE49">
        <f>(BD49+BB49)/2</f>
        <v>44</v>
      </c>
      <c r="BF49">
        <v>44</v>
      </c>
    </row>
    <row r="50" spans="2:58">
      <c r="B50" t="s">
        <v>115</v>
      </c>
      <c r="C50">
        <v>1</v>
      </c>
      <c r="D50">
        <v>3</v>
      </c>
      <c r="E50">
        <v>2</v>
      </c>
      <c r="F50">
        <v>6</v>
      </c>
      <c r="H50">
        <v>45</v>
      </c>
      <c r="I50" t="s">
        <v>106</v>
      </c>
      <c r="J50">
        <v>3</v>
      </c>
      <c r="K50">
        <v>0</v>
      </c>
      <c r="L50">
        <v>2</v>
      </c>
      <c r="M50">
        <v>5</v>
      </c>
      <c r="N50">
        <f>28-45</f>
        <v>-17</v>
      </c>
      <c r="P50">
        <v>45</v>
      </c>
      <c r="Q50" t="s">
        <v>121</v>
      </c>
      <c r="R50">
        <v>2</v>
      </c>
      <c r="S50">
        <v>0</v>
      </c>
      <c r="T50">
        <v>3</v>
      </c>
      <c r="U50">
        <f t="shared" si="0"/>
        <v>9</v>
      </c>
      <c r="V50">
        <f>36-45</f>
        <v>-9</v>
      </c>
      <c r="X50">
        <v>45</v>
      </c>
      <c r="Y50" t="s">
        <v>106</v>
      </c>
      <c r="Z50">
        <v>3</v>
      </c>
      <c r="AA50">
        <v>0</v>
      </c>
      <c r="AB50">
        <v>2</v>
      </c>
      <c r="AC50" s="6">
        <f t="shared" si="3"/>
        <v>5</v>
      </c>
      <c r="AG50" t="s">
        <v>115</v>
      </c>
      <c r="AH50">
        <v>1</v>
      </c>
      <c r="AI50">
        <v>3</v>
      </c>
      <c r="AJ50">
        <v>2</v>
      </c>
      <c r="AM50" s="2">
        <v>6</v>
      </c>
      <c r="AO50">
        <v>45</v>
      </c>
      <c r="AP50" t="s">
        <v>106</v>
      </c>
      <c r="AQ50">
        <v>3</v>
      </c>
      <c r="AR50">
        <v>0</v>
      </c>
      <c r="AS50">
        <v>2</v>
      </c>
      <c r="AT50" s="3">
        <v>10551219</v>
      </c>
      <c r="AU50" s="2"/>
      <c r="AV50" s="9">
        <f>AW50*100/AT50</f>
        <v>4.73878894940954e-5</v>
      </c>
      <c r="AW50">
        <v>5</v>
      </c>
      <c r="AX50">
        <f>28-45</f>
        <v>-17</v>
      </c>
      <c r="AY50">
        <v>47</v>
      </c>
      <c r="AZ50">
        <f t="shared" si="4"/>
        <v>46</v>
      </c>
      <c r="BB50">
        <v>74</v>
      </c>
      <c r="BC50" s="5" t="s">
        <v>62</v>
      </c>
      <c r="BD50" s="5">
        <v>13</v>
      </c>
      <c r="BE50" s="5">
        <f>(BD50+BB50)/2</f>
        <v>43.5</v>
      </c>
      <c r="BF50" s="5">
        <v>45</v>
      </c>
    </row>
    <row r="51" spans="2:58">
      <c r="B51" t="s">
        <v>105</v>
      </c>
      <c r="C51">
        <v>1</v>
      </c>
      <c r="D51">
        <v>3</v>
      </c>
      <c r="E51">
        <v>2</v>
      </c>
      <c r="F51">
        <v>6</v>
      </c>
      <c r="H51">
        <v>46</v>
      </c>
      <c r="I51" t="s">
        <v>121</v>
      </c>
      <c r="J51">
        <v>2</v>
      </c>
      <c r="K51">
        <v>0</v>
      </c>
      <c r="L51">
        <v>3</v>
      </c>
      <c r="M51">
        <v>5</v>
      </c>
      <c r="N51">
        <f>36-46</f>
        <v>-10</v>
      </c>
      <c r="P51">
        <v>46</v>
      </c>
      <c r="Q51" t="s">
        <v>83</v>
      </c>
      <c r="R51">
        <v>1</v>
      </c>
      <c r="S51">
        <v>3</v>
      </c>
      <c r="T51">
        <v>0</v>
      </c>
      <c r="U51">
        <f t="shared" si="0"/>
        <v>9</v>
      </c>
      <c r="V51">
        <f>47-46</f>
        <v>1</v>
      </c>
      <c r="X51">
        <v>46</v>
      </c>
      <c r="Y51" t="s">
        <v>121</v>
      </c>
      <c r="Z51">
        <v>2</v>
      </c>
      <c r="AA51">
        <v>0</v>
      </c>
      <c r="AB51">
        <v>3</v>
      </c>
      <c r="AC51" s="6">
        <f t="shared" si="3"/>
        <v>5</v>
      </c>
      <c r="AG51" t="s">
        <v>105</v>
      </c>
      <c r="AH51">
        <v>1</v>
      </c>
      <c r="AI51">
        <v>3</v>
      </c>
      <c r="AJ51">
        <v>2</v>
      </c>
      <c r="AM51" s="2">
        <v>6</v>
      </c>
      <c r="AO51">
        <v>46</v>
      </c>
      <c r="AP51" t="s">
        <v>89</v>
      </c>
      <c r="AQ51">
        <v>3</v>
      </c>
      <c r="AR51">
        <v>4</v>
      </c>
      <c r="AS51">
        <v>2</v>
      </c>
      <c r="AT51" s="3">
        <v>19832389</v>
      </c>
      <c r="AV51" s="9">
        <f>AW51*100/AT51</f>
        <v>4.53803119735096e-5</v>
      </c>
      <c r="AW51">
        <v>9</v>
      </c>
      <c r="AX51">
        <f>23-46</f>
        <v>-23</v>
      </c>
      <c r="AY51">
        <v>25</v>
      </c>
      <c r="AZ51">
        <f t="shared" si="4"/>
        <v>35.5</v>
      </c>
      <c r="BB51">
        <v>50</v>
      </c>
      <c r="BC51" t="s">
        <v>118</v>
      </c>
      <c r="BD51">
        <v>36</v>
      </c>
      <c r="BE51">
        <f>(BD51+BB51)/2</f>
        <v>43</v>
      </c>
      <c r="BF51">
        <v>46</v>
      </c>
    </row>
    <row r="52" spans="1:58">
      <c r="A52" t="s">
        <v>124</v>
      </c>
      <c r="B52" t="s">
        <v>33</v>
      </c>
      <c r="C52">
        <v>1</v>
      </c>
      <c r="D52">
        <v>3</v>
      </c>
      <c r="E52">
        <v>1</v>
      </c>
      <c r="F52">
        <v>5</v>
      </c>
      <c r="H52">
        <v>47</v>
      </c>
      <c r="I52" t="s">
        <v>33</v>
      </c>
      <c r="J52">
        <v>1</v>
      </c>
      <c r="K52">
        <v>3</v>
      </c>
      <c r="L52">
        <v>1</v>
      </c>
      <c r="M52">
        <v>5</v>
      </c>
      <c r="N52">
        <f>46-47</f>
        <v>-1</v>
      </c>
      <c r="P52">
        <v>47</v>
      </c>
      <c r="Q52" t="s">
        <v>120</v>
      </c>
      <c r="R52">
        <v>1</v>
      </c>
      <c r="S52">
        <v>2</v>
      </c>
      <c r="T52">
        <v>2</v>
      </c>
      <c r="U52">
        <f t="shared" si="0"/>
        <v>9</v>
      </c>
      <c r="V52">
        <f>49-47</f>
        <v>2</v>
      </c>
      <c r="X52">
        <v>47</v>
      </c>
      <c r="Y52" t="s">
        <v>33</v>
      </c>
      <c r="Z52">
        <v>1</v>
      </c>
      <c r="AA52">
        <v>3</v>
      </c>
      <c r="AB52">
        <v>1</v>
      </c>
      <c r="AC52" s="6">
        <f t="shared" si="3"/>
        <v>5</v>
      </c>
      <c r="AF52" t="s">
        <v>124</v>
      </c>
      <c r="AG52" t="s">
        <v>33</v>
      </c>
      <c r="AH52">
        <v>1</v>
      </c>
      <c r="AI52">
        <v>3</v>
      </c>
      <c r="AJ52">
        <v>1</v>
      </c>
      <c r="AM52" s="2">
        <v>5</v>
      </c>
      <c r="AO52">
        <v>47</v>
      </c>
      <c r="AP52" t="s">
        <v>97</v>
      </c>
      <c r="AQ52">
        <v>0</v>
      </c>
      <c r="AR52">
        <v>0</v>
      </c>
      <c r="AS52">
        <v>1</v>
      </c>
      <c r="AT52" s="3">
        <v>2235355</v>
      </c>
      <c r="AV52" s="9">
        <f>AW52*100/AT52</f>
        <v>4.47356236481454e-5</v>
      </c>
      <c r="AW52">
        <v>1</v>
      </c>
      <c r="AX52">
        <f>87-47</f>
        <v>40</v>
      </c>
      <c r="AY52">
        <v>83</v>
      </c>
      <c r="AZ52">
        <f t="shared" si="4"/>
        <v>65</v>
      </c>
      <c r="BB52">
        <v>68</v>
      </c>
      <c r="BC52" t="s">
        <v>78</v>
      </c>
      <c r="BD52">
        <v>18</v>
      </c>
      <c r="BE52">
        <f>(BD52+BB52)/2</f>
        <v>43</v>
      </c>
      <c r="BF52">
        <v>47</v>
      </c>
    </row>
    <row r="53" spans="1:58">
      <c r="A53">
        <v>47</v>
      </c>
      <c r="B53" t="s">
        <v>83</v>
      </c>
      <c r="C53">
        <v>1</v>
      </c>
      <c r="D53">
        <v>3</v>
      </c>
      <c r="E53">
        <v>0</v>
      </c>
      <c r="F53">
        <v>4</v>
      </c>
      <c r="H53">
        <v>48</v>
      </c>
      <c r="I53" t="s">
        <v>120</v>
      </c>
      <c r="J53">
        <v>1</v>
      </c>
      <c r="K53">
        <v>2</v>
      </c>
      <c r="L53">
        <v>2</v>
      </c>
      <c r="M53">
        <v>5</v>
      </c>
      <c r="N53">
        <f>49-48</f>
        <v>1</v>
      </c>
      <c r="P53">
        <v>48</v>
      </c>
      <c r="Q53" t="s">
        <v>82</v>
      </c>
      <c r="R53">
        <v>2</v>
      </c>
      <c r="S53">
        <v>1</v>
      </c>
      <c r="T53">
        <v>0</v>
      </c>
      <c r="U53">
        <f t="shared" si="0"/>
        <v>8</v>
      </c>
      <c r="V53">
        <f>34-48</f>
        <v>-14</v>
      </c>
      <c r="X53">
        <v>48</v>
      </c>
      <c r="Y53" t="s">
        <v>120</v>
      </c>
      <c r="Z53">
        <v>1</v>
      </c>
      <c r="AA53">
        <v>2</v>
      </c>
      <c r="AB53">
        <v>2</v>
      </c>
      <c r="AC53" s="6">
        <f t="shared" si="3"/>
        <v>5</v>
      </c>
      <c r="AF53">
        <v>47</v>
      </c>
      <c r="AG53" t="s">
        <v>83</v>
      </c>
      <c r="AH53">
        <v>1</v>
      </c>
      <c r="AI53">
        <v>3</v>
      </c>
      <c r="AJ53">
        <v>0</v>
      </c>
      <c r="AM53" s="2">
        <v>4</v>
      </c>
      <c r="AO53">
        <v>48</v>
      </c>
      <c r="AP53" t="s">
        <v>67</v>
      </c>
      <c r="AQ53">
        <v>8</v>
      </c>
      <c r="AR53">
        <v>2</v>
      </c>
      <c r="AS53">
        <v>3</v>
      </c>
      <c r="AT53" s="3">
        <v>31299500</v>
      </c>
      <c r="AU53" s="2">
        <f>AT53/(SUM(AQ53:AS53))</f>
        <v>2407653.84615385</v>
      </c>
      <c r="AV53" s="9">
        <f>AW53*100/AT53</f>
        <v>4.15342098116583e-5</v>
      </c>
      <c r="AW53">
        <v>13</v>
      </c>
      <c r="AX53">
        <f>13-48</f>
        <v>-35</v>
      </c>
      <c r="AY53">
        <v>16</v>
      </c>
      <c r="AZ53">
        <f t="shared" si="4"/>
        <v>32</v>
      </c>
      <c r="BB53">
        <v>62</v>
      </c>
      <c r="BC53" t="s">
        <v>92</v>
      </c>
      <c r="BD53">
        <v>22</v>
      </c>
      <c r="BE53">
        <f>(BD53+BB53)/2</f>
        <v>42</v>
      </c>
      <c r="BF53">
        <v>48</v>
      </c>
    </row>
    <row r="54" spans="1:58">
      <c r="A54">
        <v>48</v>
      </c>
      <c r="B54" t="s">
        <v>104</v>
      </c>
      <c r="C54">
        <v>1</v>
      </c>
      <c r="D54">
        <v>2</v>
      </c>
      <c r="E54">
        <v>5</v>
      </c>
      <c r="F54">
        <v>8</v>
      </c>
      <c r="H54">
        <v>49</v>
      </c>
      <c r="I54" t="s">
        <v>91</v>
      </c>
      <c r="J54">
        <v>0</v>
      </c>
      <c r="K54">
        <v>3</v>
      </c>
      <c r="L54">
        <v>2</v>
      </c>
      <c r="M54">
        <v>5</v>
      </c>
      <c r="N54">
        <f>65-49</f>
        <v>16</v>
      </c>
      <c r="P54">
        <v>49</v>
      </c>
      <c r="Q54" t="s">
        <v>123</v>
      </c>
      <c r="R54">
        <v>2</v>
      </c>
      <c r="S54">
        <v>0</v>
      </c>
      <c r="T54">
        <v>2</v>
      </c>
      <c r="U54">
        <f t="shared" si="0"/>
        <v>8</v>
      </c>
      <c r="V54">
        <f>37-49</f>
        <v>-12</v>
      </c>
      <c r="X54">
        <v>49</v>
      </c>
      <c r="Y54" t="s">
        <v>91</v>
      </c>
      <c r="Z54">
        <v>0</v>
      </c>
      <c r="AA54">
        <v>3</v>
      </c>
      <c r="AB54">
        <v>2</v>
      </c>
      <c r="AC54" s="6">
        <f t="shared" si="3"/>
        <v>5</v>
      </c>
      <c r="AF54">
        <v>48</v>
      </c>
      <c r="AG54" t="s">
        <v>104</v>
      </c>
      <c r="AH54">
        <v>1</v>
      </c>
      <c r="AI54">
        <v>2</v>
      </c>
      <c r="AJ54">
        <v>5</v>
      </c>
      <c r="AM54" s="2">
        <v>8</v>
      </c>
      <c r="AO54">
        <v>49</v>
      </c>
      <c r="AP54" t="s">
        <v>52</v>
      </c>
      <c r="AQ54">
        <v>12</v>
      </c>
      <c r="AR54">
        <v>13</v>
      </c>
      <c r="AS54">
        <v>8</v>
      </c>
      <c r="AT54" s="3">
        <v>81413145</v>
      </c>
      <c r="AU54" s="2">
        <f>AT54/(SUM(AQ54:AS54))</f>
        <v>2467065</v>
      </c>
      <c r="AV54" s="9">
        <f>AW54*100/AT54</f>
        <v>4.05339948481293e-5</v>
      </c>
      <c r="AW54">
        <v>33</v>
      </c>
      <c r="AX54">
        <f>10-49</f>
        <v>-39</v>
      </c>
      <c r="AY54">
        <v>9</v>
      </c>
      <c r="AZ54">
        <f t="shared" si="4"/>
        <v>29</v>
      </c>
      <c r="BB54">
        <v>64</v>
      </c>
      <c r="BC54" t="s">
        <v>77</v>
      </c>
      <c r="BD54">
        <v>20</v>
      </c>
      <c r="BE54">
        <f>(BD54+BB54)/2</f>
        <v>42</v>
      </c>
      <c r="BF54">
        <v>49</v>
      </c>
    </row>
    <row r="55" spans="1:58">
      <c r="A55">
        <v>49</v>
      </c>
      <c r="B55" t="s">
        <v>120</v>
      </c>
      <c r="C55">
        <v>1</v>
      </c>
      <c r="D55">
        <v>2</v>
      </c>
      <c r="E55">
        <v>2</v>
      </c>
      <c r="F55">
        <v>5</v>
      </c>
      <c r="H55">
        <v>50</v>
      </c>
      <c r="I55" t="s">
        <v>53</v>
      </c>
      <c r="J55">
        <v>2</v>
      </c>
      <c r="K55">
        <v>1</v>
      </c>
      <c r="L55">
        <v>1</v>
      </c>
      <c r="M55">
        <v>4</v>
      </c>
      <c r="N55">
        <f>33-50</f>
        <v>-17</v>
      </c>
      <c r="P55">
        <v>50</v>
      </c>
      <c r="Q55" t="s">
        <v>73</v>
      </c>
      <c r="R55">
        <v>2</v>
      </c>
      <c r="S55">
        <v>0</v>
      </c>
      <c r="T55">
        <v>2</v>
      </c>
      <c r="U55">
        <f t="shared" si="0"/>
        <v>8</v>
      </c>
      <c r="V55">
        <f>38-50</f>
        <v>-12</v>
      </c>
      <c r="X55">
        <v>50</v>
      </c>
      <c r="Y55" t="s">
        <v>53</v>
      </c>
      <c r="Z55">
        <v>2</v>
      </c>
      <c r="AA55">
        <v>1</v>
      </c>
      <c r="AB55">
        <v>1</v>
      </c>
      <c r="AC55" s="6">
        <f t="shared" si="3"/>
        <v>4</v>
      </c>
      <c r="AF55">
        <v>49</v>
      </c>
      <c r="AG55" t="s">
        <v>120</v>
      </c>
      <c r="AH55">
        <v>1</v>
      </c>
      <c r="AI55">
        <v>2</v>
      </c>
      <c r="AJ55">
        <v>2</v>
      </c>
      <c r="AM55" s="2">
        <v>5</v>
      </c>
      <c r="AO55">
        <v>50</v>
      </c>
      <c r="AP55" t="s">
        <v>118</v>
      </c>
      <c r="AQ55">
        <v>1</v>
      </c>
      <c r="AR55">
        <v>3</v>
      </c>
      <c r="AS55">
        <v>3</v>
      </c>
      <c r="AT55" s="3">
        <v>17544126</v>
      </c>
      <c r="AU55" s="2"/>
      <c r="AV55" s="9">
        <f>AW55*100/AT55</f>
        <v>3.98993942473965e-5</v>
      </c>
      <c r="AW55">
        <v>7</v>
      </c>
      <c r="AX55">
        <f>43-50</f>
        <v>-7</v>
      </c>
      <c r="AY55">
        <v>36</v>
      </c>
      <c r="AZ55">
        <f t="shared" si="4"/>
        <v>43</v>
      </c>
      <c r="BB55">
        <v>4</v>
      </c>
      <c r="BC55" t="s">
        <v>44</v>
      </c>
      <c r="BD55">
        <v>79</v>
      </c>
      <c r="BE55">
        <f>(BD55+BB55)/2</f>
        <v>41.5</v>
      </c>
      <c r="BF55">
        <v>50</v>
      </c>
    </row>
    <row r="56" spans="1:58">
      <c r="A56">
        <v>50</v>
      </c>
      <c r="B56" t="s">
        <v>117</v>
      </c>
      <c r="C56">
        <v>1</v>
      </c>
      <c r="D56">
        <v>2</v>
      </c>
      <c r="E56">
        <v>1</v>
      </c>
      <c r="F56">
        <v>4</v>
      </c>
      <c r="H56">
        <v>51</v>
      </c>
      <c r="I56" t="s">
        <v>123</v>
      </c>
      <c r="J56">
        <v>2</v>
      </c>
      <c r="K56">
        <v>0</v>
      </c>
      <c r="L56">
        <v>2</v>
      </c>
      <c r="M56">
        <v>4</v>
      </c>
      <c r="N56">
        <f>37-51</f>
        <v>-14</v>
      </c>
      <c r="P56">
        <v>51</v>
      </c>
      <c r="Q56" t="s">
        <v>117</v>
      </c>
      <c r="R56">
        <v>1</v>
      </c>
      <c r="S56">
        <v>2</v>
      </c>
      <c r="T56">
        <v>1</v>
      </c>
      <c r="U56">
        <f t="shared" si="0"/>
        <v>8</v>
      </c>
      <c r="V56">
        <f>50-51</f>
        <v>-1</v>
      </c>
      <c r="X56">
        <v>51</v>
      </c>
      <c r="Y56" t="s">
        <v>123</v>
      </c>
      <c r="Z56">
        <v>2</v>
      </c>
      <c r="AA56">
        <v>0</v>
      </c>
      <c r="AB56">
        <v>2</v>
      </c>
      <c r="AC56" s="6">
        <f t="shared" si="3"/>
        <v>4</v>
      </c>
      <c r="AF56">
        <v>50</v>
      </c>
      <c r="AG56" t="s">
        <v>117</v>
      </c>
      <c r="AH56">
        <v>1</v>
      </c>
      <c r="AI56">
        <v>2</v>
      </c>
      <c r="AJ56">
        <v>1</v>
      </c>
      <c r="AM56" s="2">
        <v>4</v>
      </c>
      <c r="AO56">
        <v>51</v>
      </c>
      <c r="AP56" t="s">
        <v>32</v>
      </c>
      <c r="AQ56">
        <v>40</v>
      </c>
      <c r="AR56">
        <v>44</v>
      </c>
      <c r="AS56">
        <v>42</v>
      </c>
      <c r="AT56" s="3">
        <v>321418820</v>
      </c>
      <c r="AU56" s="2">
        <f>AT56/(SUM(AQ56:AS56))</f>
        <v>2550943.01587302</v>
      </c>
      <c r="AV56" s="9">
        <f>AW56*100/AT56</f>
        <v>3.92011892769689e-5</v>
      </c>
      <c r="AW56">
        <v>126</v>
      </c>
      <c r="AX56">
        <f>1-51</f>
        <v>-50</v>
      </c>
      <c r="AY56">
        <v>1</v>
      </c>
      <c r="AZ56">
        <f t="shared" si="4"/>
        <v>26</v>
      </c>
      <c r="BB56">
        <v>38</v>
      </c>
      <c r="BC56" t="s">
        <v>103</v>
      </c>
      <c r="BD56">
        <v>45</v>
      </c>
      <c r="BE56">
        <f>(BD56+BB56)/2</f>
        <v>41.5</v>
      </c>
      <c r="BF56">
        <v>51</v>
      </c>
    </row>
    <row r="57" spans="1:58">
      <c r="A57">
        <v>51</v>
      </c>
      <c r="B57" t="s">
        <v>107</v>
      </c>
      <c r="C57">
        <v>1</v>
      </c>
      <c r="D57">
        <v>1</v>
      </c>
      <c r="E57">
        <v>6</v>
      </c>
      <c r="F57">
        <v>8</v>
      </c>
      <c r="H57">
        <v>52</v>
      </c>
      <c r="I57" t="s">
        <v>73</v>
      </c>
      <c r="J57">
        <v>2</v>
      </c>
      <c r="K57">
        <v>0</v>
      </c>
      <c r="L57">
        <v>2</v>
      </c>
      <c r="M57">
        <v>4</v>
      </c>
      <c r="N57">
        <f>38-52</f>
        <v>-14</v>
      </c>
      <c r="P57">
        <v>52</v>
      </c>
      <c r="Q57" t="s">
        <v>91</v>
      </c>
      <c r="R57">
        <v>0</v>
      </c>
      <c r="S57">
        <v>3</v>
      </c>
      <c r="T57">
        <v>2</v>
      </c>
      <c r="U57">
        <f t="shared" si="0"/>
        <v>8</v>
      </c>
      <c r="V57">
        <f>65-52</f>
        <v>13</v>
      </c>
      <c r="X57">
        <v>52</v>
      </c>
      <c r="Y57" t="s">
        <v>73</v>
      </c>
      <c r="Z57">
        <v>2</v>
      </c>
      <c r="AA57">
        <v>0</v>
      </c>
      <c r="AB57">
        <v>2</v>
      </c>
      <c r="AC57" s="6">
        <f t="shared" si="3"/>
        <v>4</v>
      </c>
      <c r="AF57">
        <v>51</v>
      </c>
      <c r="AG57" t="s">
        <v>107</v>
      </c>
      <c r="AH57">
        <v>1</v>
      </c>
      <c r="AI57">
        <v>1</v>
      </c>
      <c r="AJ57">
        <v>6</v>
      </c>
      <c r="AM57" s="2">
        <v>8</v>
      </c>
      <c r="AO57">
        <v>52</v>
      </c>
      <c r="AP57" t="s">
        <v>59</v>
      </c>
      <c r="AQ57">
        <v>5</v>
      </c>
      <c r="AR57">
        <v>4</v>
      </c>
      <c r="AS57">
        <v>9</v>
      </c>
      <c r="AT57" s="3">
        <v>46418269</v>
      </c>
      <c r="AU57" s="2">
        <f>AT57/(SUM(AQ57:AS57))</f>
        <v>2578792.72222222</v>
      </c>
      <c r="AV57" s="9">
        <f>AW57*100/AT57</f>
        <v>3.87778355112725e-5</v>
      </c>
      <c r="AW57">
        <v>18</v>
      </c>
      <c r="AY57">
        <v>15</v>
      </c>
      <c r="AZ57">
        <f t="shared" si="4"/>
        <v>33.5</v>
      </c>
      <c r="BB57">
        <v>79</v>
      </c>
      <c r="BC57" t="s">
        <v>35</v>
      </c>
      <c r="BD57">
        <v>2</v>
      </c>
      <c r="BE57">
        <f>(BD57+BB57)/2</f>
        <v>40.5</v>
      </c>
      <c r="BF57">
        <v>52</v>
      </c>
    </row>
    <row r="58" spans="1:58">
      <c r="A58">
        <v>52</v>
      </c>
      <c r="B58" t="s">
        <v>80</v>
      </c>
      <c r="C58">
        <v>1</v>
      </c>
      <c r="D58">
        <v>1</v>
      </c>
      <c r="E58">
        <v>1</v>
      </c>
      <c r="F58">
        <v>3</v>
      </c>
      <c r="H58">
        <v>53</v>
      </c>
      <c r="I58" t="s">
        <v>83</v>
      </c>
      <c r="J58">
        <v>1</v>
      </c>
      <c r="K58">
        <v>3</v>
      </c>
      <c r="L58">
        <v>0</v>
      </c>
      <c r="M58">
        <v>4</v>
      </c>
      <c r="N58">
        <f>48-53</f>
        <v>-5</v>
      </c>
      <c r="P58">
        <v>53</v>
      </c>
      <c r="Q58" t="s">
        <v>99</v>
      </c>
      <c r="R58">
        <v>0</v>
      </c>
      <c r="S58">
        <v>2</v>
      </c>
      <c r="T58">
        <v>4</v>
      </c>
      <c r="U58">
        <f t="shared" si="0"/>
        <v>8</v>
      </c>
      <c r="V58">
        <f>68-53</f>
        <v>15</v>
      </c>
      <c r="X58">
        <v>53</v>
      </c>
      <c r="Y58" t="s">
        <v>83</v>
      </c>
      <c r="Z58">
        <v>1</v>
      </c>
      <c r="AA58">
        <v>3</v>
      </c>
      <c r="AB58">
        <v>0</v>
      </c>
      <c r="AC58" s="6">
        <f t="shared" si="3"/>
        <v>4</v>
      </c>
      <c r="AF58">
        <v>52</v>
      </c>
      <c r="AG58" t="s">
        <v>80</v>
      </c>
      <c r="AH58">
        <v>1</v>
      </c>
      <c r="AI58">
        <v>1</v>
      </c>
      <c r="AJ58">
        <v>1</v>
      </c>
      <c r="AM58" s="2">
        <v>3</v>
      </c>
      <c r="AO58">
        <v>53</v>
      </c>
      <c r="AP58" t="s">
        <v>117</v>
      </c>
      <c r="AQ58">
        <v>1</v>
      </c>
      <c r="AR58">
        <v>2</v>
      </c>
      <c r="AS58">
        <v>1</v>
      </c>
      <c r="AT58" s="3">
        <v>10348648</v>
      </c>
      <c r="AU58" s="2"/>
      <c r="AV58" s="9">
        <f>AW58*100/AT58</f>
        <v>3.86523920805887e-5</v>
      </c>
      <c r="AW58">
        <v>4</v>
      </c>
      <c r="AY58">
        <v>55</v>
      </c>
      <c r="AZ58">
        <f t="shared" si="4"/>
        <v>54</v>
      </c>
      <c r="BB58">
        <v>2</v>
      </c>
      <c r="BC58" t="s">
        <v>37</v>
      </c>
      <c r="BD58">
        <v>78</v>
      </c>
      <c r="BE58">
        <f>(BD58+BB58)/2</f>
        <v>40</v>
      </c>
      <c r="BF58">
        <v>53</v>
      </c>
    </row>
    <row r="59" spans="2:58">
      <c r="B59" t="s">
        <v>64</v>
      </c>
      <c r="C59">
        <v>1</v>
      </c>
      <c r="D59">
        <v>1</v>
      </c>
      <c r="E59">
        <v>1</v>
      </c>
      <c r="F59">
        <v>3</v>
      </c>
      <c r="H59">
        <v>54</v>
      </c>
      <c r="I59" t="s">
        <v>117</v>
      </c>
      <c r="J59">
        <v>1</v>
      </c>
      <c r="K59">
        <v>2</v>
      </c>
      <c r="L59">
        <v>1</v>
      </c>
      <c r="M59">
        <v>4</v>
      </c>
      <c r="N59">
        <f>50-54</f>
        <v>-4</v>
      </c>
      <c r="P59">
        <v>54</v>
      </c>
      <c r="Q59" t="s">
        <v>122</v>
      </c>
      <c r="R59">
        <v>0</v>
      </c>
      <c r="S59">
        <v>2</v>
      </c>
      <c r="T59">
        <v>4</v>
      </c>
      <c r="U59">
        <f t="shared" si="0"/>
        <v>8</v>
      </c>
      <c r="V59">
        <f>69-54</f>
        <v>15</v>
      </c>
      <c r="X59">
        <v>54</v>
      </c>
      <c r="Y59" t="s">
        <v>117</v>
      </c>
      <c r="Z59">
        <v>1</v>
      </c>
      <c r="AA59">
        <v>2</v>
      </c>
      <c r="AB59">
        <v>1</v>
      </c>
      <c r="AC59" s="6">
        <f t="shared" si="3"/>
        <v>4</v>
      </c>
      <c r="AG59" t="s">
        <v>64</v>
      </c>
      <c r="AH59">
        <v>1</v>
      </c>
      <c r="AI59">
        <v>1</v>
      </c>
      <c r="AJ59">
        <v>1</v>
      </c>
      <c r="AM59" s="2">
        <v>3</v>
      </c>
      <c r="AO59">
        <v>54</v>
      </c>
      <c r="AP59" t="s">
        <v>39</v>
      </c>
      <c r="AQ59">
        <v>20</v>
      </c>
      <c r="AR59">
        <v>12</v>
      </c>
      <c r="AS59">
        <v>13</v>
      </c>
      <c r="AT59" s="3">
        <v>126958472</v>
      </c>
      <c r="AU59" s="2">
        <f>AT59/(SUM(AQ59:AS59))</f>
        <v>2821299.37777778</v>
      </c>
      <c r="AV59" s="9">
        <f>AW59*100/AT59</f>
        <v>3.5444660991194e-5</v>
      </c>
      <c r="AW59">
        <v>45</v>
      </c>
      <c r="AY59">
        <v>6</v>
      </c>
      <c r="AZ59">
        <f t="shared" si="4"/>
        <v>30</v>
      </c>
      <c r="BB59">
        <v>61</v>
      </c>
      <c r="BC59" t="s">
        <v>81</v>
      </c>
      <c r="BD59">
        <v>17</v>
      </c>
      <c r="BE59">
        <f>(BD59+BB59)/2</f>
        <v>39</v>
      </c>
      <c r="BF59">
        <v>54</v>
      </c>
    </row>
    <row r="60" spans="2:58">
      <c r="B60" t="s">
        <v>100</v>
      </c>
      <c r="C60">
        <v>1</v>
      </c>
      <c r="D60">
        <v>1</v>
      </c>
      <c r="E60">
        <v>1</v>
      </c>
      <c r="F60">
        <v>3</v>
      </c>
      <c r="H60">
        <v>55</v>
      </c>
      <c r="I60" t="s">
        <v>86</v>
      </c>
      <c r="J60">
        <v>0</v>
      </c>
      <c r="K60">
        <v>3</v>
      </c>
      <c r="L60">
        <v>1</v>
      </c>
      <c r="M60">
        <v>4</v>
      </c>
      <c r="N60">
        <f>66-55</f>
        <v>11</v>
      </c>
      <c r="P60">
        <v>55</v>
      </c>
      <c r="Q60" t="s">
        <v>87</v>
      </c>
      <c r="R60">
        <v>2</v>
      </c>
      <c r="S60">
        <v>0</v>
      </c>
      <c r="T60">
        <v>1</v>
      </c>
      <c r="U60">
        <f t="shared" si="0"/>
        <v>7</v>
      </c>
      <c r="V60">
        <f>39-55</f>
        <v>-16</v>
      </c>
      <c r="X60">
        <v>55</v>
      </c>
      <c r="Y60" t="s">
        <v>86</v>
      </c>
      <c r="Z60">
        <v>0</v>
      </c>
      <c r="AA60">
        <v>3</v>
      </c>
      <c r="AB60">
        <v>1</v>
      </c>
      <c r="AC60" s="6">
        <f t="shared" si="3"/>
        <v>4</v>
      </c>
      <c r="AG60" t="s">
        <v>100</v>
      </c>
      <c r="AH60">
        <v>1</v>
      </c>
      <c r="AI60">
        <v>1</v>
      </c>
      <c r="AJ60">
        <v>1</v>
      </c>
      <c r="AM60" s="2">
        <v>3</v>
      </c>
      <c r="AO60">
        <v>55</v>
      </c>
      <c r="AP60" t="s">
        <v>110</v>
      </c>
      <c r="AQ60">
        <v>0</v>
      </c>
      <c r="AR60">
        <v>0</v>
      </c>
      <c r="AS60">
        <v>3</v>
      </c>
      <c r="AT60" s="3">
        <v>8481855</v>
      </c>
      <c r="AU60" s="2"/>
      <c r="AV60" s="9">
        <f>AW60*100/AT60</f>
        <v>3.53696213858879e-5</v>
      </c>
      <c r="AW60">
        <v>3</v>
      </c>
      <c r="AY60">
        <v>60</v>
      </c>
      <c r="AZ60">
        <f t="shared" si="4"/>
        <v>57.5</v>
      </c>
      <c r="BB60">
        <v>18</v>
      </c>
      <c r="BC60" t="s">
        <v>82</v>
      </c>
      <c r="BD60">
        <v>59</v>
      </c>
      <c r="BE60">
        <f>(BD60+BB60)/2</f>
        <v>38.5</v>
      </c>
      <c r="BF60">
        <v>55</v>
      </c>
    </row>
    <row r="61" spans="1:58">
      <c r="A61">
        <v>55</v>
      </c>
      <c r="B61" t="s">
        <v>114</v>
      </c>
      <c r="C61">
        <v>1</v>
      </c>
      <c r="D61">
        <v>1</v>
      </c>
      <c r="E61">
        <v>0</v>
      </c>
      <c r="F61">
        <v>2</v>
      </c>
      <c r="H61">
        <v>56</v>
      </c>
      <c r="I61" t="s">
        <v>95</v>
      </c>
      <c r="J61">
        <v>0</v>
      </c>
      <c r="K61">
        <v>3</v>
      </c>
      <c r="L61">
        <v>1</v>
      </c>
      <c r="M61">
        <v>4</v>
      </c>
      <c r="N61">
        <f>67-56</f>
        <v>11</v>
      </c>
      <c r="P61">
        <v>56</v>
      </c>
      <c r="Q61" t="s">
        <v>56</v>
      </c>
      <c r="R61">
        <v>2</v>
      </c>
      <c r="S61">
        <v>0</v>
      </c>
      <c r="T61">
        <v>1</v>
      </c>
      <c r="U61">
        <f t="shared" si="0"/>
        <v>7</v>
      </c>
      <c r="V61">
        <f>40-56</f>
        <v>-16</v>
      </c>
      <c r="X61">
        <v>56</v>
      </c>
      <c r="Y61" t="s">
        <v>95</v>
      </c>
      <c r="Z61">
        <v>0</v>
      </c>
      <c r="AA61">
        <v>3</v>
      </c>
      <c r="AB61">
        <v>1</v>
      </c>
      <c r="AC61" s="6">
        <f t="shared" si="3"/>
        <v>4</v>
      </c>
      <c r="AF61">
        <v>55</v>
      </c>
      <c r="AG61" t="s">
        <v>114</v>
      </c>
      <c r="AH61">
        <v>1</v>
      </c>
      <c r="AI61">
        <v>1</v>
      </c>
      <c r="AJ61">
        <v>0</v>
      </c>
      <c r="AM61" s="2">
        <v>2</v>
      </c>
      <c r="AO61">
        <v>56</v>
      </c>
      <c r="AP61" t="s">
        <v>85</v>
      </c>
      <c r="AQ61">
        <v>0</v>
      </c>
      <c r="AR61">
        <v>1</v>
      </c>
      <c r="AS61">
        <v>0</v>
      </c>
      <c r="AT61" s="3">
        <v>2959134</v>
      </c>
      <c r="AV61" s="9">
        <f>AW61*100/AT61</f>
        <v>3.37936707158243e-5</v>
      </c>
      <c r="AW61">
        <v>1</v>
      </c>
      <c r="AY61">
        <v>84</v>
      </c>
      <c r="AZ61">
        <f t="shared" si="4"/>
        <v>70</v>
      </c>
      <c r="BB61">
        <v>22</v>
      </c>
      <c r="BC61" t="s">
        <v>93</v>
      </c>
      <c r="BD61">
        <v>53</v>
      </c>
      <c r="BE61">
        <f>(BD61+BB61)/2</f>
        <v>37.5</v>
      </c>
      <c r="BF61">
        <v>56</v>
      </c>
    </row>
    <row r="62" spans="2:58">
      <c r="B62" t="s">
        <v>71</v>
      </c>
      <c r="C62">
        <v>1</v>
      </c>
      <c r="D62">
        <v>1</v>
      </c>
      <c r="E62">
        <v>0</v>
      </c>
      <c r="F62">
        <v>2</v>
      </c>
      <c r="H62">
        <v>57</v>
      </c>
      <c r="I62" t="s">
        <v>84</v>
      </c>
      <c r="J62">
        <v>0</v>
      </c>
      <c r="K62">
        <v>2</v>
      </c>
      <c r="L62">
        <v>2</v>
      </c>
      <c r="M62">
        <v>4</v>
      </c>
      <c r="N62">
        <f>70-57</f>
        <v>13</v>
      </c>
      <c r="P62">
        <v>57</v>
      </c>
      <c r="Q62" t="s">
        <v>86</v>
      </c>
      <c r="R62">
        <v>0</v>
      </c>
      <c r="S62">
        <v>3</v>
      </c>
      <c r="T62">
        <v>1</v>
      </c>
      <c r="U62">
        <f t="shared" si="0"/>
        <v>7</v>
      </c>
      <c r="V62">
        <f>66-57</f>
        <v>9</v>
      </c>
      <c r="X62">
        <v>57</v>
      </c>
      <c r="Y62" t="s">
        <v>84</v>
      </c>
      <c r="Z62">
        <v>0</v>
      </c>
      <c r="AA62">
        <v>2</v>
      </c>
      <c r="AB62">
        <v>2</v>
      </c>
      <c r="AC62" s="6">
        <f t="shared" si="3"/>
        <v>4</v>
      </c>
      <c r="AG62" t="s">
        <v>71</v>
      </c>
      <c r="AH62">
        <v>1</v>
      </c>
      <c r="AI62">
        <v>1</v>
      </c>
      <c r="AJ62">
        <v>0</v>
      </c>
      <c r="AM62" s="2">
        <v>2</v>
      </c>
      <c r="AO62">
        <v>57</v>
      </c>
      <c r="AP62" t="s">
        <v>120</v>
      </c>
      <c r="AQ62">
        <v>1</v>
      </c>
      <c r="AR62">
        <v>2</v>
      </c>
      <c r="AS62">
        <v>2</v>
      </c>
      <c r="AT62" s="3">
        <v>16144363</v>
      </c>
      <c r="AV62" s="9">
        <f>AW62*100/AT62</f>
        <v>3.09705622947155e-5</v>
      </c>
      <c r="AW62">
        <v>5</v>
      </c>
      <c r="AY62">
        <v>48</v>
      </c>
      <c r="AZ62">
        <f t="shared" si="4"/>
        <v>52.5</v>
      </c>
      <c r="BB62">
        <v>5</v>
      </c>
      <c r="BC62" t="s">
        <v>47</v>
      </c>
      <c r="BD62">
        <v>68</v>
      </c>
      <c r="BE62">
        <f>(BD62+BB62)/2</f>
        <v>36.5</v>
      </c>
      <c r="BF62">
        <v>57</v>
      </c>
    </row>
    <row r="63" spans="2:58">
      <c r="B63" t="s">
        <v>47</v>
      </c>
      <c r="C63">
        <v>1</v>
      </c>
      <c r="D63">
        <v>1</v>
      </c>
      <c r="E63">
        <v>0</v>
      </c>
      <c r="F63">
        <v>2</v>
      </c>
      <c r="H63">
        <v>58</v>
      </c>
      <c r="I63" t="s">
        <v>93</v>
      </c>
      <c r="J63">
        <v>0</v>
      </c>
      <c r="K63">
        <v>1</v>
      </c>
      <c r="L63">
        <v>3</v>
      </c>
      <c r="M63">
        <v>4</v>
      </c>
      <c r="N63">
        <f>72-58</f>
        <v>14</v>
      </c>
      <c r="P63">
        <v>58</v>
      </c>
      <c r="Q63" t="s">
        <v>95</v>
      </c>
      <c r="R63">
        <v>0</v>
      </c>
      <c r="S63">
        <v>3</v>
      </c>
      <c r="T63">
        <v>1</v>
      </c>
      <c r="U63">
        <f t="shared" si="0"/>
        <v>7</v>
      </c>
      <c r="V63">
        <f>67-58</f>
        <v>9</v>
      </c>
      <c r="X63">
        <v>58</v>
      </c>
      <c r="Y63" t="s">
        <v>93</v>
      </c>
      <c r="Z63">
        <v>0</v>
      </c>
      <c r="AA63">
        <v>1</v>
      </c>
      <c r="AB63">
        <v>3</v>
      </c>
      <c r="AC63" s="6">
        <f t="shared" si="3"/>
        <v>4</v>
      </c>
      <c r="AG63" t="s">
        <v>47</v>
      </c>
      <c r="AH63">
        <v>1</v>
      </c>
      <c r="AI63">
        <v>1</v>
      </c>
      <c r="AJ63">
        <v>0</v>
      </c>
      <c r="AM63" s="2">
        <v>2</v>
      </c>
      <c r="AO63">
        <v>58</v>
      </c>
      <c r="AP63" t="s">
        <v>119</v>
      </c>
      <c r="AQ63">
        <v>2</v>
      </c>
      <c r="AR63">
        <v>0</v>
      </c>
      <c r="AS63">
        <v>5</v>
      </c>
      <c r="AT63" s="3">
        <v>24000000</v>
      </c>
      <c r="AU63" s="2"/>
      <c r="AV63" s="9">
        <f>AW63*100/AT63</f>
        <v>2.91666666666667e-5</v>
      </c>
      <c r="AW63">
        <v>7</v>
      </c>
      <c r="AY63">
        <v>37</v>
      </c>
      <c r="AZ63">
        <f t="shared" si="4"/>
        <v>47.5</v>
      </c>
      <c r="BB63">
        <v>20</v>
      </c>
      <c r="BC63" t="s">
        <v>86</v>
      </c>
      <c r="BD63">
        <v>52</v>
      </c>
      <c r="BE63">
        <f>(BD63+BB63)/2</f>
        <v>36</v>
      </c>
      <c r="BF63">
        <v>58</v>
      </c>
    </row>
    <row r="64" spans="2:58">
      <c r="B64" t="s">
        <v>48</v>
      </c>
      <c r="C64">
        <v>1</v>
      </c>
      <c r="D64">
        <v>1</v>
      </c>
      <c r="E64">
        <v>0</v>
      </c>
      <c r="F64">
        <v>2</v>
      </c>
      <c r="H64">
        <v>59</v>
      </c>
      <c r="I64" t="s">
        <v>82</v>
      </c>
      <c r="J64">
        <v>2</v>
      </c>
      <c r="K64">
        <v>1</v>
      </c>
      <c r="L64">
        <v>0</v>
      </c>
      <c r="M64">
        <v>3</v>
      </c>
      <c r="N64">
        <f>34-59</f>
        <v>-25</v>
      </c>
      <c r="P64">
        <v>59</v>
      </c>
      <c r="Q64" t="s">
        <v>94</v>
      </c>
      <c r="R64">
        <v>0</v>
      </c>
      <c r="S64">
        <v>1</v>
      </c>
      <c r="T64">
        <v>5</v>
      </c>
      <c r="U64">
        <f t="shared" si="0"/>
        <v>7</v>
      </c>
      <c r="V64">
        <f>71-59</f>
        <v>12</v>
      </c>
      <c r="X64">
        <v>59</v>
      </c>
      <c r="Y64" t="s">
        <v>82</v>
      </c>
      <c r="Z64">
        <v>2</v>
      </c>
      <c r="AA64">
        <v>1</v>
      </c>
      <c r="AB64">
        <v>0</v>
      </c>
      <c r="AC64" s="6">
        <f t="shared" si="3"/>
        <v>3</v>
      </c>
      <c r="AG64" t="s">
        <v>48</v>
      </c>
      <c r="AH64">
        <v>1</v>
      </c>
      <c r="AI64">
        <v>1</v>
      </c>
      <c r="AJ64">
        <v>0</v>
      </c>
      <c r="AM64" s="2">
        <v>2</v>
      </c>
      <c r="AO64">
        <v>59</v>
      </c>
      <c r="AP64" t="s">
        <v>102</v>
      </c>
      <c r="AQ64">
        <v>1</v>
      </c>
      <c r="AR64">
        <v>0</v>
      </c>
      <c r="AS64">
        <v>2</v>
      </c>
      <c r="AT64" s="3">
        <v>10528391</v>
      </c>
      <c r="AV64" s="9">
        <f>AW64*100/AT64</f>
        <v>2.8494382474967e-5</v>
      </c>
      <c r="AW64">
        <v>3</v>
      </c>
      <c r="AY64">
        <v>61</v>
      </c>
      <c r="AZ64">
        <f t="shared" si="4"/>
        <v>60</v>
      </c>
      <c r="BB64">
        <v>37</v>
      </c>
      <c r="BC64" t="s">
        <v>111</v>
      </c>
      <c r="BD64">
        <v>35</v>
      </c>
      <c r="BE64">
        <f>(BD64+BB64)/2</f>
        <v>36</v>
      </c>
      <c r="BF64">
        <v>59</v>
      </c>
    </row>
    <row r="65" spans="1:58">
      <c r="A65">
        <v>59</v>
      </c>
      <c r="B65" t="s">
        <v>102</v>
      </c>
      <c r="C65">
        <v>1</v>
      </c>
      <c r="D65">
        <v>0</v>
      </c>
      <c r="E65">
        <v>2</v>
      </c>
      <c r="F65">
        <v>3</v>
      </c>
      <c r="H65">
        <v>60</v>
      </c>
      <c r="I65" t="s">
        <v>87</v>
      </c>
      <c r="J65">
        <v>2</v>
      </c>
      <c r="K65">
        <v>0</v>
      </c>
      <c r="L65">
        <v>1</v>
      </c>
      <c r="M65">
        <v>3</v>
      </c>
      <c r="N65">
        <f>39-60</f>
        <v>-21</v>
      </c>
      <c r="P65">
        <v>60</v>
      </c>
      <c r="Q65" t="s">
        <v>80</v>
      </c>
      <c r="R65">
        <v>1</v>
      </c>
      <c r="S65">
        <v>1</v>
      </c>
      <c r="T65">
        <v>1</v>
      </c>
      <c r="U65">
        <f t="shared" si="0"/>
        <v>6</v>
      </c>
      <c r="V65">
        <f>52-60</f>
        <v>-8</v>
      </c>
      <c r="X65">
        <v>60</v>
      </c>
      <c r="Y65" t="s">
        <v>87</v>
      </c>
      <c r="Z65">
        <v>2</v>
      </c>
      <c r="AA65">
        <v>0</v>
      </c>
      <c r="AB65">
        <v>1</v>
      </c>
      <c r="AC65" s="6">
        <f t="shared" si="3"/>
        <v>3</v>
      </c>
      <c r="AF65">
        <v>59</v>
      </c>
      <c r="AG65" t="s">
        <v>102</v>
      </c>
      <c r="AH65">
        <v>1</v>
      </c>
      <c r="AI65">
        <v>0</v>
      </c>
      <c r="AJ65">
        <v>2</v>
      </c>
      <c r="AM65" s="2">
        <v>3</v>
      </c>
      <c r="AO65">
        <v>60</v>
      </c>
      <c r="AP65" t="s">
        <v>100</v>
      </c>
      <c r="AQ65">
        <v>1</v>
      </c>
      <c r="AR65">
        <v>1</v>
      </c>
      <c r="AS65">
        <v>1</v>
      </c>
      <c r="AT65" s="3">
        <v>11107800</v>
      </c>
      <c r="AU65" s="2"/>
      <c r="AV65" s="9">
        <f>AW65*100/AT65</f>
        <v>2.70080483984227e-5</v>
      </c>
      <c r="AW65">
        <v>3</v>
      </c>
      <c r="AY65">
        <v>62</v>
      </c>
      <c r="AZ65">
        <f t="shared" si="4"/>
        <v>61</v>
      </c>
      <c r="BB65">
        <v>46</v>
      </c>
      <c r="BC65" t="s">
        <v>89</v>
      </c>
      <c r="BD65">
        <v>25</v>
      </c>
      <c r="BE65">
        <f>(BD65+BB65)/2</f>
        <v>35.5</v>
      </c>
      <c r="BF65">
        <v>60</v>
      </c>
    </row>
    <row r="66" spans="1:58">
      <c r="A66">
        <v>60</v>
      </c>
      <c r="B66" t="s">
        <v>76</v>
      </c>
      <c r="C66">
        <v>1</v>
      </c>
      <c r="D66">
        <v>0</v>
      </c>
      <c r="E66">
        <v>1</v>
      </c>
      <c r="F66">
        <v>2</v>
      </c>
      <c r="H66">
        <v>61</v>
      </c>
      <c r="I66" t="s">
        <v>56</v>
      </c>
      <c r="J66">
        <v>2</v>
      </c>
      <c r="K66">
        <v>0</v>
      </c>
      <c r="L66">
        <v>1</v>
      </c>
      <c r="M66">
        <v>3</v>
      </c>
      <c r="N66">
        <f>40-61</f>
        <v>-21</v>
      </c>
      <c r="P66">
        <v>61</v>
      </c>
      <c r="Q66" t="s">
        <v>64</v>
      </c>
      <c r="R66">
        <v>1</v>
      </c>
      <c r="S66">
        <v>1</v>
      </c>
      <c r="T66">
        <v>1</v>
      </c>
      <c r="U66">
        <f t="shared" si="0"/>
        <v>6</v>
      </c>
      <c r="X66">
        <v>61</v>
      </c>
      <c r="Y66" t="s">
        <v>56</v>
      </c>
      <c r="Z66">
        <v>2</v>
      </c>
      <c r="AA66">
        <v>0</v>
      </c>
      <c r="AB66">
        <v>1</v>
      </c>
      <c r="AC66" s="6">
        <f t="shared" si="3"/>
        <v>3</v>
      </c>
      <c r="AF66">
        <v>60</v>
      </c>
      <c r="AG66" t="s">
        <v>76</v>
      </c>
      <c r="AH66">
        <v>1</v>
      </c>
      <c r="AI66">
        <v>0</v>
      </c>
      <c r="AJ66">
        <v>1</v>
      </c>
      <c r="AM66" s="2">
        <v>2</v>
      </c>
      <c r="AO66">
        <v>61</v>
      </c>
      <c r="AP66" t="s">
        <v>81</v>
      </c>
      <c r="AQ66">
        <v>3</v>
      </c>
      <c r="AR66">
        <v>5</v>
      </c>
      <c r="AS66">
        <v>4</v>
      </c>
      <c r="AT66" s="3">
        <v>45198200</v>
      </c>
      <c r="AU66" s="2"/>
      <c r="AV66" s="9">
        <f>AW66*100/AT66</f>
        <v>2.65497298564987e-5</v>
      </c>
      <c r="AW66">
        <v>12</v>
      </c>
      <c r="AY66">
        <v>17</v>
      </c>
      <c r="AZ66">
        <f t="shared" si="4"/>
        <v>39</v>
      </c>
      <c r="BB66">
        <v>3</v>
      </c>
      <c r="BC66" t="s">
        <v>41</v>
      </c>
      <c r="BD66">
        <v>67</v>
      </c>
      <c r="BE66">
        <f>(BD66+BB66)/2</f>
        <v>35</v>
      </c>
      <c r="BF66">
        <v>61</v>
      </c>
    </row>
    <row r="67" spans="2:58">
      <c r="B67" t="s">
        <v>50</v>
      </c>
      <c r="C67">
        <v>1</v>
      </c>
      <c r="D67">
        <v>0</v>
      </c>
      <c r="E67">
        <v>1</v>
      </c>
      <c r="F67">
        <v>2</v>
      </c>
      <c r="H67">
        <v>62</v>
      </c>
      <c r="I67" t="s">
        <v>80</v>
      </c>
      <c r="J67">
        <v>1</v>
      </c>
      <c r="K67">
        <v>1</v>
      </c>
      <c r="L67">
        <v>1</v>
      </c>
      <c r="M67">
        <v>3</v>
      </c>
      <c r="N67">
        <f>52-62</f>
        <v>-10</v>
      </c>
      <c r="P67">
        <v>62</v>
      </c>
      <c r="Q67" t="s">
        <v>100</v>
      </c>
      <c r="R67">
        <v>1</v>
      </c>
      <c r="S67">
        <v>1</v>
      </c>
      <c r="T67">
        <v>1</v>
      </c>
      <c r="U67">
        <f t="shared" si="0"/>
        <v>6</v>
      </c>
      <c r="X67">
        <v>62</v>
      </c>
      <c r="Y67" t="s">
        <v>80</v>
      </c>
      <c r="Z67">
        <v>1</v>
      </c>
      <c r="AA67">
        <v>1</v>
      </c>
      <c r="AB67">
        <v>1</v>
      </c>
      <c r="AC67" s="6">
        <f t="shared" si="3"/>
        <v>3</v>
      </c>
      <c r="AG67" t="s">
        <v>50</v>
      </c>
      <c r="AH67">
        <v>1</v>
      </c>
      <c r="AI67">
        <v>0</v>
      </c>
      <c r="AJ67">
        <v>1</v>
      </c>
      <c r="AM67" s="2">
        <v>2</v>
      </c>
      <c r="AO67">
        <v>62</v>
      </c>
      <c r="AP67" t="s">
        <v>92</v>
      </c>
      <c r="AQ67">
        <v>1</v>
      </c>
      <c r="AR67">
        <v>4</v>
      </c>
      <c r="AS67">
        <v>5</v>
      </c>
      <c r="AT67" s="3">
        <v>37999494</v>
      </c>
      <c r="AV67" s="9">
        <f>AW67*100/AT67</f>
        <v>2.63161398938628e-5</v>
      </c>
      <c r="AW67">
        <v>10</v>
      </c>
      <c r="AY67">
        <v>22</v>
      </c>
      <c r="AZ67">
        <f t="shared" si="4"/>
        <v>42</v>
      </c>
      <c r="BB67">
        <v>19</v>
      </c>
      <c r="BC67" t="s">
        <v>84</v>
      </c>
      <c r="BD67">
        <v>51</v>
      </c>
      <c r="BE67">
        <f>(BD67+BB67)/2</f>
        <v>35</v>
      </c>
      <c r="BF67">
        <v>62</v>
      </c>
    </row>
    <row r="68" spans="1:58">
      <c r="A68">
        <v>62</v>
      </c>
      <c r="B68" t="s">
        <v>44</v>
      </c>
      <c r="C68">
        <v>1</v>
      </c>
      <c r="D68">
        <v>0</v>
      </c>
      <c r="E68">
        <v>0</v>
      </c>
      <c r="F68">
        <v>1</v>
      </c>
      <c r="H68">
        <v>63</v>
      </c>
      <c r="I68" t="s">
        <v>64</v>
      </c>
      <c r="J68">
        <v>1</v>
      </c>
      <c r="K68">
        <v>1</v>
      </c>
      <c r="L68">
        <v>1</v>
      </c>
      <c r="M68">
        <v>3</v>
      </c>
      <c r="N68">
        <f>53-63</f>
        <v>-10</v>
      </c>
      <c r="P68">
        <v>63</v>
      </c>
      <c r="Q68" t="s">
        <v>84</v>
      </c>
      <c r="R68">
        <v>0</v>
      </c>
      <c r="S68">
        <v>2</v>
      </c>
      <c r="T68">
        <v>2</v>
      </c>
      <c r="U68">
        <f t="shared" si="0"/>
        <v>6</v>
      </c>
      <c r="X68">
        <v>63</v>
      </c>
      <c r="Y68" t="s">
        <v>64</v>
      </c>
      <c r="Z68">
        <v>1</v>
      </c>
      <c r="AA68">
        <v>1</v>
      </c>
      <c r="AB68">
        <v>1</v>
      </c>
      <c r="AC68" s="6">
        <f t="shared" si="3"/>
        <v>3</v>
      </c>
      <c r="AF68">
        <v>62</v>
      </c>
      <c r="AG68" t="s">
        <v>44</v>
      </c>
      <c r="AH68">
        <v>1</v>
      </c>
      <c r="AI68">
        <v>0</v>
      </c>
      <c r="AJ68">
        <v>0</v>
      </c>
      <c r="AM68" s="2">
        <v>1</v>
      </c>
      <c r="AO68">
        <v>63</v>
      </c>
      <c r="AP68" t="s">
        <v>69</v>
      </c>
      <c r="AQ68">
        <v>0</v>
      </c>
      <c r="AR68">
        <v>1</v>
      </c>
      <c r="AS68">
        <v>0</v>
      </c>
      <c r="AT68" s="3">
        <v>3929141</v>
      </c>
      <c r="AU68" s="2"/>
      <c r="AV68" s="9">
        <f>AW68*100/AT68</f>
        <v>2.54508555432345e-5</v>
      </c>
      <c r="AW68">
        <v>1</v>
      </c>
      <c r="AY68">
        <v>85</v>
      </c>
      <c r="AZ68">
        <f t="shared" si="4"/>
        <v>74</v>
      </c>
      <c r="BB68">
        <v>33</v>
      </c>
      <c r="BC68" t="s">
        <v>112</v>
      </c>
      <c r="BD68">
        <v>34</v>
      </c>
      <c r="BE68">
        <f>(BD68+BB68)/2</f>
        <v>33.5</v>
      </c>
      <c r="BF68">
        <v>63</v>
      </c>
    </row>
    <row r="69" spans="2:58">
      <c r="B69" t="s">
        <v>34</v>
      </c>
      <c r="C69">
        <v>1</v>
      </c>
      <c r="D69">
        <v>0</v>
      </c>
      <c r="E69">
        <v>0</v>
      </c>
      <c r="F69">
        <v>1</v>
      </c>
      <c r="H69">
        <v>64</v>
      </c>
      <c r="I69" t="s">
        <v>100</v>
      </c>
      <c r="J69">
        <v>1</v>
      </c>
      <c r="K69">
        <v>1</v>
      </c>
      <c r="L69">
        <v>1</v>
      </c>
      <c r="M69">
        <v>3</v>
      </c>
      <c r="N69">
        <f>54-64</f>
        <v>-10</v>
      </c>
      <c r="P69">
        <v>64</v>
      </c>
      <c r="Q69" t="s">
        <v>114</v>
      </c>
      <c r="R69">
        <v>1</v>
      </c>
      <c r="S69">
        <v>1</v>
      </c>
      <c r="T69">
        <v>0</v>
      </c>
      <c r="U69">
        <f t="shared" si="0"/>
        <v>5</v>
      </c>
      <c r="X69">
        <v>64</v>
      </c>
      <c r="Y69" t="s">
        <v>100</v>
      </c>
      <c r="Z69">
        <v>1</v>
      </c>
      <c r="AA69">
        <v>1</v>
      </c>
      <c r="AB69">
        <v>1</v>
      </c>
      <c r="AC69" s="6">
        <f t="shared" si="3"/>
        <v>3</v>
      </c>
      <c r="AG69" t="s">
        <v>34</v>
      </c>
      <c r="AH69">
        <v>1</v>
      </c>
      <c r="AI69">
        <v>0</v>
      </c>
      <c r="AJ69">
        <v>0</v>
      </c>
      <c r="AM69" s="2">
        <v>1</v>
      </c>
      <c r="AO69">
        <v>64</v>
      </c>
      <c r="AP69" t="s">
        <v>77</v>
      </c>
      <c r="AQ69">
        <v>4</v>
      </c>
      <c r="AR69">
        <v>2</v>
      </c>
      <c r="AS69">
        <v>5</v>
      </c>
      <c r="AT69" s="3">
        <v>46050302</v>
      </c>
      <c r="AU69" s="2">
        <f>AT69/(SUM(AQ69:AS69))</f>
        <v>4186391.09090909</v>
      </c>
      <c r="AV69" s="9">
        <f>AW69*100/AT69</f>
        <v>2.38869226091069e-5</v>
      </c>
      <c r="AW69">
        <v>11</v>
      </c>
      <c r="AY69">
        <v>20</v>
      </c>
      <c r="AZ69">
        <f t="shared" si="4"/>
        <v>42</v>
      </c>
      <c r="BB69">
        <v>52</v>
      </c>
      <c r="BC69" t="s">
        <v>59</v>
      </c>
      <c r="BD69">
        <v>15</v>
      </c>
      <c r="BE69">
        <f>(BD69+BB69)/2</f>
        <v>33.5</v>
      </c>
      <c r="BF69">
        <v>64</v>
      </c>
    </row>
    <row r="70" spans="1:58">
      <c r="A70">
        <v>64</v>
      </c>
      <c r="B70" t="s">
        <v>109</v>
      </c>
      <c r="C70">
        <v>0</v>
      </c>
      <c r="D70">
        <v>3</v>
      </c>
      <c r="E70">
        <v>5</v>
      </c>
      <c r="F70">
        <v>8</v>
      </c>
      <c r="H70">
        <v>65</v>
      </c>
      <c r="I70" t="s">
        <v>102</v>
      </c>
      <c r="J70">
        <v>1</v>
      </c>
      <c r="K70">
        <v>0</v>
      </c>
      <c r="L70">
        <v>2</v>
      </c>
      <c r="M70">
        <v>3</v>
      </c>
      <c r="N70">
        <f>59-65</f>
        <v>-6</v>
      </c>
      <c r="P70">
        <v>65</v>
      </c>
      <c r="Q70" t="s">
        <v>71</v>
      </c>
      <c r="R70">
        <v>1</v>
      </c>
      <c r="S70">
        <v>1</v>
      </c>
      <c r="T70">
        <v>0</v>
      </c>
      <c r="U70">
        <f t="shared" ref="U70:U78" si="5">(R70*3)+(S70*2)+T70</f>
        <v>5</v>
      </c>
      <c r="X70">
        <v>65</v>
      </c>
      <c r="Y70" t="s">
        <v>102</v>
      </c>
      <c r="Z70">
        <v>1</v>
      </c>
      <c r="AA70">
        <v>0</v>
      </c>
      <c r="AB70">
        <v>2</v>
      </c>
      <c r="AC70" s="6">
        <f t="shared" ref="AC70:AC97" si="6">SUM(Z70:AB70)</f>
        <v>3</v>
      </c>
      <c r="AF70">
        <v>64</v>
      </c>
      <c r="AG70" t="s">
        <v>109</v>
      </c>
      <c r="AH70">
        <v>0</v>
      </c>
      <c r="AI70">
        <v>3</v>
      </c>
      <c r="AJ70">
        <v>5</v>
      </c>
      <c r="AM70" s="2">
        <v>8</v>
      </c>
      <c r="AO70">
        <v>65</v>
      </c>
      <c r="AP70" t="s">
        <v>122</v>
      </c>
      <c r="AQ70">
        <v>0</v>
      </c>
      <c r="AR70">
        <v>2</v>
      </c>
      <c r="AS70">
        <v>4</v>
      </c>
      <c r="AT70" s="3">
        <v>25155317</v>
      </c>
      <c r="AV70" s="9">
        <f>AW70*100/AT70</f>
        <v>2.38518162979222e-5</v>
      </c>
      <c r="AW70">
        <v>6</v>
      </c>
      <c r="AY70">
        <v>40</v>
      </c>
      <c r="AZ70">
        <f t="shared" si="4"/>
        <v>52.5</v>
      </c>
      <c r="BB70">
        <v>25</v>
      </c>
      <c r="BC70" t="s">
        <v>99</v>
      </c>
      <c r="BD70">
        <v>39</v>
      </c>
      <c r="BE70">
        <f>(BD70+BB70)/2</f>
        <v>32</v>
      </c>
      <c r="BF70">
        <v>65</v>
      </c>
    </row>
    <row r="71" spans="1:58">
      <c r="A71">
        <v>65</v>
      </c>
      <c r="B71" t="s">
        <v>91</v>
      </c>
      <c r="C71">
        <v>0</v>
      </c>
      <c r="D71">
        <v>3</v>
      </c>
      <c r="E71">
        <v>2</v>
      </c>
      <c r="F71">
        <v>5</v>
      </c>
      <c r="H71">
        <v>66</v>
      </c>
      <c r="I71" t="s">
        <v>110</v>
      </c>
      <c r="J71">
        <v>0</v>
      </c>
      <c r="K71">
        <v>0</v>
      </c>
      <c r="L71">
        <v>3</v>
      </c>
      <c r="M71">
        <v>3</v>
      </c>
      <c r="N71">
        <f>79-66</f>
        <v>13</v>
      </c>
      <c r="P71">
        <v>66</v>
      </c>
      <c r="Q71" t="s">
        <v>47</v>
      </c>
      <c r="R71">
        <v>1</v>
      </c>
      <c r="S71">
        <v>1</v>
      </c>
      <c r="T71">
        <v>0</v>
      </c>
      <c r="U71">
        <f t="shared" si="5"/>
        <v>5</v>
      </c>
      <c r="V71">
        <f>57-66</f>
        <v>-9</v>
      </c>
      <c r="X71">
        <v>66</v>
      </c>
      <c r="Y71" t="s">
        <v>110</v>
      </c>
      <c r="Z71">
        <v>0</v>
      </c>
      <c r="AA71">
        <v>0</v>
      </c>
      <c r="AB71">
        <v>3</v>
      </c>
      <c r="AC71" s="6">
        <f t="shared" si="6"/>
        <v>3</v>
      </c>
      <c r="AF71">
        <v>65</v>
      </c>
      <c r="AG71" t="s">
        <v>91</v>
      </c>
      <c r="AH71">
        <v>0</v>
      </c>
      <c r="AI71">
        <v>3</v>
      </c>
      <c r="AJ71">
        <v>2</v>
      </c>
      <c r="AM71" s="2">
        <v>5</v>
      </c>
      <c r="AO71">
        <v>66</v>
      </c>
      <c r="AP71" t="s">
        <v>66</v>
      </c>
      <c r="AQ71">
        <v>0</v>
      </c>
      <c r="AR71">
        <v>0</v>
      </c>
      <c r="AS71">
        <v>1</v>
      </c>
      <c r="AT71" s="3">
        <v>5424050</v>
      </c>
      <c r="AU71" s="2"/>
      <c r="AV71" s="9">
        <f>AW71*100/AT71</f>
        <v>1.84364082189508e-5</v>
      </c>
      <c r="AW71">
        <v>1</v>
      </c>
      <c r="AY71">
        <v>86</v>
      </c>
      <c r="AZ71">
        <f t="shared" ref="AZ71:AZ98" si="7">(AY71+AO71)/2</f>
        <v>76</v>
      </c>
      <c r="BB71">
        <v>36</v>
      </c>
      <c r="BC71" t="s">
        <v>107</v>
      </c>
      <c r="BD71">
        <v>28</v>
      </c>
      <c r="BE71">
        <f>(BD71+BB71)/2</f>
        <v>32</v>
      </c>
      <c r="BF71">
        <v>66</v>
      </c>
    </row>
    <row r="72" spans="1:58">
      <c r="A72">
        <v>66</v>
      </c>
      <c r="B72" t="s">
        <v>86</v>
      </c>
      <c r="C72">
        <v>0</v>
      </c>
      <c r="D72">
        <v>3</v>
      </c>
      <c r="E72">
        <v>1</v>
      </c>
      <c r="F72">
        <v>4</v>
      </c>
      <c r="H72">
        <v>67</v>
      </c>
      <c r="I72" t="s">
        <v>114</v>
      </c>
      <c r="J72">
        <v>1</v>
      </c>
      <c r="K72">
        <v>1</v>
      </c>
      <c r="L72">
        <v>0</v>
      </c>
      <c r="M72">
        <v>2</v>
      </c>
      <c r="N72">
        <f>55-67</f>
        <v>-12</v>
      </c>
      <c r="P72">
        <v>67</v>
      </c>
      <c r="Q72" t="s">
        <v>48</v>
      </c>
      <c r="R72">
        <v>1</v>
      </c>
      <c r="S72">
        <v>1</v>
      </c>
      <c r="T72">
        <v>0</v>
      </c>
      <c r="U72">
        <f t="shared" si="5"/>
        <v>5</v>
      </c>
      <c r="X72">
        <v>67</v>
      </c>
      <c r="Y72" t="s">
        <v>114</v>
      </c>
      <c r="Z72">
        <v>1</v>
      </c>
      <c r="AA72">
        <v>1</v>
      </c>
      <c r="AB72">
        <v>0</v>
      </c>
      <c r="AC72" s="6">
        <f t="shared" si="6"/>
        <v>2</v>
      </c>
      <c r="AF72">
        <v>66</v>
      </c>
      <c r="AG72" t="s">
        <v>86</v>
      </c>
      <c r="AH72">
        <v>0</v>
      </c>
      <c r="AI72">
        <v>3</v>
      </c>
      <c r="AJ72">
        <v>1</v>
      </c>
      <c r="AM72" s="2">
        <v>4</v>
      </c>
      <c r="AO72">
        <v>67</v>
      </c>
      <c r="AP72" t="s">
        <v>60</v>
      </c>
      <c r="AQ72">
        <v>0</v>
      </c>
      <c r="AR72">
        <v>0</v>
      </c>
      <c r="AS72">
        <v>1</v>
      </c>
      <c r="AT72" s="3">
        <v>5535002</v>
      </c>
      <c r="AU72" s="2"/>
      <c r="AV72" s="9">
        <f>AW72*100/AT72</f>
        <v>1.80668408069229e-5</v>
      </c>
      <c r="AW72">
        <v>1</v>
      </c>
      <c r="AY72">
        <v>87</v>
      </c>
      <c r="AZ72">
        <f t="shared" si="7"/>
        <v>77</v>
      </c>
      <c r="BB72">
        <v>48</v>
      </c>
      <c r="BC72" t="s">
        <v>67</v>
      </c>
      <c r="BD72">
        <v>16</v>
      </c>
      <c r="BE72">
        <f>(BD72+BB72)/2</f>
        <v>32</v>
      </c>
      <c r="BF72">
        <v>67</v>
      </c>
    </row>
    <row r="73" spans="2:58">
      <c r="B73" t="s">
        <v>95</v>
      </c>
      <c r="C73">
        <v>0</v>
      </c>
      <c r="D73">
        <v>3</v>
      </c>
      <c r="E73">
        <v>1</v>
      </c>
      <c r="F73">
        <v>4</v>
      </c>
      <c r="H73">
        <v>68</v>
      </c>
      <c r="I73" t="s">
        <v>71</v>
      </c>
      <c r="J73">
        <v>1</v>
      </c>
      <c r="K73">
        <v>1</v>
      </c>
      <c r="L73">
        <v>0</v>
      </c>
      <c r="M73">
        <v>2</v>
      </c>
      <c r="N73">
        <f>56-68</f>
        <v>-12</v>
      </c>
      <c r="P73">
        <v>68</v>
      </c>
      <c r="Q73" t="s">
        <v>102</v>
      </c>
      <c r="R73">
        <v>1</v>
      </c>
      <c r="S73">
        <v>0</v>
      </c>
      <c r="T73">
        <v>2</v>
      </c>
      <c r="U73">
        <f t="shared" si="5"/>
        <v>5</v>
      </c>
      <c r="X73">
        <v>68</v>
      </c>
      <c r="Y73" t="s">
        <v>71</v>
      </c>
      <c r="Z73">
        <v>1</v>
      </c>
      <c r="AA73">
        <v>1</v>
      </c>
      <c r="AB73">
        <v>0</v>
      </c>
      <c r="AC73" s="6">
        <f t="shared" si="6"/>
        <v>2</v>
      </c>
      <c r="AG73" t="s">
        <v>95</v>
      </c>
      <c r="AH73">
        <v>0</v>
      </c>
      <c r="AI73">
        <v>3</v>
      </c>
      <c r="AJ73">
        <v>1</v>
      </c>
      <c r="AM73" s="2">
        <v>4</v>
      </c>
      <c r="AO73">
        <v>68</v>
      </c>
      <c r="AP73" t="s">
        <v>78</v>
      </c>
      <c r="AQ73">
        <v>3</v>
      </c>
      <c r="AR73">
        <v>6</v>
      </c>
      <c r="AS73">
        <v>3</v>
      </c>
      <c r="AT73" s="3">
        <v>79109272</v>
      </c>
      <c r="AU73" s="2"/>
      <c r="AV73" s="9">
        <f>AW73*100/AT73</f>
        <v>1.51688919599715e-5</v>
      </c>
      <c r="AW73">
        <v>12</v>
      </c>
      <c r="AY73">
        <v>18</v>
      </c>
      <c r="AZ73">
        <f t="shared" si="7"/>
        <v>43</v>
      </c>
      <c r="BB73">
        <v>27</v>
      </c>
      <c r="BC73" t="s">
        <v>101</v>
      </c>
      <c r="BD73">
        <v>33</v>
      </c>
      <c r="BE73">
        <f>(BD73+BB73)/2</f>
        <v>30</v>
      </c>
      <c r="BF73">
        <v>68</v>
      </c>
    </row>
    <row r="74" spans="1:58">
      <c r="A74">
        <v>68</v>
      </c>
      <c r="B74" t="s">
        <v>99</v>
      </c>
      <c r="C74">
        <v>0</v>
      </c>
      <c r="D74">
        <v>2</v>
      </c>
      <c r="E74">
        <v>4</v>
      </c>
      <c r="F74">
        <v>6</v>
      </c>
      <c r="H74">
        <v>69</v>
      </c>
      <c r="I74" t="s">
        <v>47</v>
      </c>
      <c r="J74">
        <v>1</v>
      </c>
      <c r="K74">
        <v>1</v>
      </c>
      <c r="L74">
        <v>0</v>
      </c>
      <c r="M74">
        <v>2</v>
      </c>
      <c r="N74">
        <f>57-69</f>
        <v>-12</v>
      </c>
      <c r="P74">
        <v>69</v>
      </c>
      <c r="Q74" t="s">
        <v>93</v>
      </c>
      <c r="R74">
        <v>0</v>
      </c>
      <c r="S74">
        <v>1</v>
      </c>
      <c r="T74">
        <v>3</v>
      </c>
      <c r="U74">
        <f t="shared" si="5"/>
        <v>5</v>
      </c>
      <c r="X74">
        <v>69</v>
      </c>
      <c r="Y74" t="s">
        <v>47</v>
      </c>
      <c r="Z74">
        <v>1</v>
      </c>
      <c r="AA74">
        <v>1</v>
      </c>
      <c r="AB74">
        <v>0</v>
      </c>
      <c r="AC74" s="6">
        <f t="shared" si="6"/>
        <v>2</v>
      </c>
      <c r="AF74">
        <v>68</v>
      </c>
      <c r="AG74" t="s">
        <v>99</v>
      </c>
      <c r="AH74">
        <v>0</v>
      </c>
      <c r="AI74">
        <v>2</v>
      </c>
      <c r="AJ74">
        <v>4</v>
      </c>
      <c r="AM74" s="2">
        <v>6</v>
      </c>
      <c r="AO74">
        <v>69</v>
      </c>
      <c r="AP74" t="s">
        <v>54</v>
      </c>
      <c r="AQ74">
        <v>0</v>
      </c>
      <c r="AR74">
        <v>1</v>
      </c>
      <c r="AS74">
        <v>0</v>
      </c>
      <c r="AT74" s="3">
        <v>7594547</v>
      </c>
      <c r="AU74" s="2"/>
      <c r="AV74" s="9">
        <f>AW74*100/AT74</f>
        <v>1.31673423049459e-5</v>
      </c>
      <c r="AW74">
        <v>1</v>
      </c>
      <c r="AY74">
        <v>88</v>
      </c>
      <c r="AZ74">
        <f t="shared" si="7"/>
        <v>78.5</v>
      </c>
      <c r="BB74">
        <v>54</v>
      </c>
      <c r="BC74" t="s">
        <v>39</v>
      </c>
      <c r="BD74">
        <v>6</v>
      </c>
      <c r="BE74">
        <f>(BD74+BB74)/2</f>
        <v>30</v>
      </c>
      <c r="BF74">
        <v>69</v>
      </c>
    </row>
    <row r="75" spans="2:58">
      <c r="B75" t="s">
        <v>122</v>
      </c>
      <c r="C75">
        <v>0</v>
      </c>
      <c r="D75">
        <v>2</v>
      </c>
      <c r="E75">
        <v>4</v>
      </c>
      <c r="F75">
        <v>6</v>
      </c>
      <c r="H75">
        <v>70</v>
      </c>
      <c r="I75" t="s">
        <v>48</v>
      </c>
      <c r="J75">
        <v>1</v>
      </c>
      <c r="K75">
        <v>1</v>
      </c>
      <c r="L75">
        <v>0</v>
      </c>
      <c r="M75">
        <v>2</v>
      </c>
      <c r="N75">
        <f>58-70</f>
        <v>-12</v>
      </c>
      <c r="P75">
        <v>70</v>
      </c>
      <c r="Q75" t="s">
        <v>76</v>
      </c>
      <c r="R75">
        <v>1</v>
      </c>
      <c r="S75">
        <v>0</v>
      </c>
      <c r="T75">
        <v>1</v>
      </c>
      <c r="U75">
        <f t="shared" si="5"/>
        <v>4</v>
      </c>
      <c r="X75">
        <v>70</v>
      </c>
      <c r="Y75" t="s">
        <v>48</v>
      </c>
      <c r="Z75">
        <v>1</v>
      </c>
      <c r="AA75">
        <v>1</v>
      </c>
      <c r="AB75">
        <v>0</v>
      </c>
      <c r="AC75" s="6">
        <f t="shared" si="6"/>
        <v>2</v>
      </c>
      <c r="AG75" t="s">
        <v>122</v>
      </c>
      <c r="AH75">
        <v>0</v>
      </c>
      <c r="AI75">
        <v>2</v>
      </c>
      <c r="AJ75">
        <v>4</v>
      </c>
      <c r="AM75" s="2">
        <v>6</v>
      </c>
      <c r="AO75">
        <v>70</v>
      </c>
      <c r="AP75" t="s">
        <v>76</v>
      </c>
      <c r="AQ75">
        <v>1</v>
      </c>
      <c r="AR75">
        <v>0</v>
      </c>
      <c r="AS75">
        <v>1</v>
      </c>
      <c r="AT75" s="3">
        <v>16342897</v>
      </c>
      <c r="AU75" s="2"/>
      <c r="AV75" s="9">
        <f>AW75*100/AT75</f>
        <v>1.22377323922436e-5</v>
      </c>
      <c r="AW75">
        <v>2</v>
      </c>
      <c r="AY75">
        <v>73</v>
      </c>
      <c r="AZ75">
        <f t="shared" si="7"/>
        <v>71.5</v>
      </c>
      <c r="BB75">
        <v>34</v>
      </c>
      <c r="BC75" t="s">
        <v>98</v>
      </c>
      <c r="BD75">
        <v>24</v>
      </c>
      <c r="BE75">
        <f>(BD75+BB75)/2</f>
        <v>29</v>
      </c>
      <c r="BF75">
        <v>70</v>
      </c>
    </row>
    <row r="76" spans="1:58">
      <c r="A76">
        <v>70</v>
      </c>
      <c r="B76" t="s">
        <v>84</v>
      </c>
      <c r="C76">
        <v>0</v>
      </c>
      <c r="D76">
        <v>2</v>
      </c>
      <c r="E76">
        <v>2</v>
      </c>
      <c r="F76">
        <v>4</v>
      </c>
      <c r="H76">
        <v>71</v>
      </c>
      <c r="I76" t="s">
        <v>76</v>
      </c>
      <c r="J76">
        <v>1</v>
      </c>
      <c r="K76">
        <v>0</v>
      </c>
      <c r="L76">
        <v>1</v>
      </c>
      <c r="M76">
        <v>2</v>
      </c>
      <c r="N76">
        <f>60-71</f>
        <v>-11</v>
      </c>
      <c r="P76">
        <v>71</v>
      </c>
      <c r="Q76" t="s">
        <v>50</v>
      </c>
      <c r="R76">
        <v>1</v>
      </c>
      <c r="S76">
        <v>0</v>
      </c>
      <c r="T76">
        <v>1</v>
      </c>
      <c r="U76">
        <f t="shared" si="5"/>
        <v>4</v>
      </c>
      <c r="X76">
        <v>71</v>
      </c>
      <c r="Y76" t="s">
        <v>76</v>
      </c>
      <c r="Z76">
        <v>1</v>
      </c>
      <c r="AA76">
        <v>0</v>
      </c>
      <c r="AB76">
        <v>1</v>
      </c>
      <c r="AC76" s="6">
        <f t="shared" si="6"/>
        <v>2</v>
      </c>
      <c r="AF76">
        <v>70</v>
      </c>
      <c r="AG76" t="s">
        <v>84</v>
      </c>
      <c r="AH76">
        <v>0</v>
      </c>
      <c r="AI76">
        <v>2</v>
      </c>
      <c r="AJ76">
        <v>2</v>
      </c>
      <c r="AM76" s="2">
        <v>4</v>
      </c>
      <c r="AO76">
        <v>71</v>
      </c>
      <c r="AP76" t="s">
        <v>71</v>
      </c>
      <c r="AQ76">
        <v>1</v>
      </c>
      <c r="AR76">
        <v>1</v>
      </c>
      <c r="AS76">
        <v>0</v>
      </c>
      <c r="AT76" s="3">
        <v>17948141</v>
      </c>
      <c r="AU76" s="2"/>
      <c r="AV76" s="9">
        <f>AW76*100/AT76</f>
        <v>1.11432153335546e-5</v>
      </c>
      <c r="AW76">
        <v>2</v>
      </c>
      <c r="AY76">
        <v>74</v>
      </c>
      <c r="AZ76">
        <f t="shared" si="7"/>
        <v>72.5</v>
      </c>
      <c r="BB76">
        <v>49</v>
      </c>
      <c r="BC76" t="s">
        <v>52</v>
      </c>
      <c r="BD76">
        <v>9</v>
      </c>
      <c r="BE76">
        <f>(BD76+BB76)/2</f>
        <v>29</v>
      </c>
      <c r="BF76">
        <v>71</v>
      </c>
    </row>
    <row r="77" spans="1:58">
      <c r="A77">
        <v>71</v>
      </c>
      <c r="B77" t="s">
        <v>94</v>
      </c>
      <c r="C77">
        <v>0</v>
      </c>
      <c r="D77">
        <v>1</v>
      </c>
      <c r="E77">
        <v>5</v>
      </c>
      <c r="F77">
        <v>6</v>
      </c>
      <c r="H77">
        <v>72</v>
      </c>
      <c r="I77" t="s">
        <v>50</v>
      </c>
      <c r="J77">
        <v>1</v>
      </c>
      <c r="K77">
        <v>0</v>
      </c>
      <c r="L77">
        <v>1</v>
      </c>
      <c r="M77">
        <v>2</v>
      </c>
      <c r="N77">
        <f>61-72</f>
        <v>-11</v>
      </c>
      <c r="P77">
        <v>72</v>
      </c>
      <c r="Q77" t="s">
        <v>44</v>
      </c>
      <c r="R77">
        <v>1</v>
      </c>
      <c r="S77">
        <v>0</v>
      </c>
      <c r="T77">
        <v>0</v>
      </c>
      <c r="U77">
        <f t="shared" si="5"/>
        <v>3</v>
      </c>
      <c r="X77">
        <v>72</v>
      </c>
      <c r="Y77" t="s">
        <v>50</v>
      </c>
      <c r="Z77">
        <v>1</v>
      </c>
      <c r="AA77">
        <v>0</v>
      </c>
      <c r="AB77">
        <v>1</v>
      </c>
      <c r="AC77" s="6">
        <f t="shared" si="6"/>
        <v>2</v>
      </c>
      <c r="AF77">
        <v>71</v>
      </c>
      <c r="AG77" t="s">
        <v>94</v>
      </c>
      <c r="AH77">
        <v>0</v>
      </c>
      <c r="AI77">
        <v>1</v>
      </c>
      <c r="AJ77">
        <v>5</v>
      </c>
      <c r="AM77" s="2">
        <v>6</v>
      </c>
      <c r="AO77">
        <v>72</v>
      </c>
      <c r="AP77" t="s">
        <v>115</v>
      </c>
      <c r="AQ77">
        <v>1</v>
      </c>
      <c r="AR77">
        <v>3</v>
      </c>
      <c r="AS77">
        <v>2</v>
      </c>
      <c r="AT77" s="3">
        <v>54956920</v>
      </c>
      <c r="AU77" s="2"/>
      <c r="AV77" s="9">
        <f>AW77*100/AT77</f>
        <v>1.09176424006294e-5</v>
      </c>
      <c r="AW77">
        <v>6</v>
      </c>
      <c r="AY77">
        <v>41</v>
      </c>
      <c r="AZ77">
        <f t="shared" si="7"/>
        <v>56.5</v>
      </c>
      <c r="BB77">
        <v>7</v>
      </c>
      <c r="BC77" t="s">
        <v>53</v>
      </c>
      <c r="BD77">
        <v>50</v>
      </c>
      <c r="BE77">
        <f>(BD77+BB77)/2</f>
        <v>28.5</v>
      </c>
      <c r="BF77">
        <v>72</v>
      </c>
    </row>
    <row r="78" spans="1:58">
      <c r="A78">
        <v>72</v>
      </c>
      <c r="B78" t="s">
        <v>93</v>
      </c>
      <c r="C78">
        <v>0</v>
      </c>
      <c r="D78">
        <v>1</v>
      </c>
      <c r="E78">
        <v>3</v>
      </c>
      <c r="F78">
        <v>4</v>
      </c>
      <c r="H78">
        <v>73</v>
      </c>
      <c r="I78" t="s">
        <v>90</v>
      </c>
      <c r="J78">
        <v>0</v>
      </c>
      <c r="K78">
        <v>1</v>
      </c>
      <c r="L78">
        <v>1</v>
      </c>
      <c r="M78">
        <v>2</v>
      </c>
      <c r="P78">
        <v>73</v>
      </c>
      <c r="Q78" t="s">
        <v>34</v>
      </c>
      <c r="R78">
        <v>1</v>
      </c>
      <c r="S78">
        <v>0</v>
      </c>
      <c r="T78">
        <v>0</v>
      </c>
      <c r="U78">
        <f t="shared" si="5"/>
        <v>3</v>
      </c>
      <c r="X78">
        <v>73</v>
      </c>
      <c r="Y78" t="s">
        <v>90</v>
      </c>
      <c r="Z78">
        <v>0</v>
      </c>
      <c r="AA78">
        <v>1</v>
      </c>
      <c r="AB78">
        <v>1</v>
      </c>
      <c r="AC78" s="6">
        <f t="shared" si="6"/>
        <v>2</v>
      </c>
      <c r="AF78">
        <v>72</v>
      </c>
      <c r="AG78" t="s">
        <v>93</v>
      </c>
      <c r="AH78">
        <v>0</v>
      </c>
      <c r="AI78">
        <v>1</v>
      </c>
      <c r="AJ78">
        <v>3</v>
      </c>
      <c r="AM78" s="2">
        <v>4</v>
      </c>
      <c r="AO78">
        <v>73</v>
      </c>
      <c r="AP78" t="s">
        <v>109</v>
      </c>
      <c r="AQ78">
        <v>0</v>
      </c>
      <c r="AR78">
        <v>3</v>
      </c>
      <c r="AS78">
        <v>5</v>
      </c>
      <c r="AT78" s="3">
        <v>78665830</v>
      </c>
      <c r="AU78" s="2"/>
      <c r="AV78" s="9">
        <f>AW78*100/AT78</f>
        <v>1.01695996851492e-5</v>
      </c>
      <c r="AW78">
        <v>8</v>
      </c>
      <c r="AY78">
        <v>29</v>
      </c>
      <c r="AZ78">
        <f t="shared" si="7"/>
        <v>51</v>
      </c>
      <c r="BB78" s="5">
        <v>28</v>
      </c>
      <c r="BC78" s="5" t="s">
        <v>104</v>
      </c>
      <c r="BD78" s="5">
        <v>27</v>
      </c>
      <c r="BE78" s="5">
        <f>(BD78+BB78)/2</f>
        <v>27.5</v>
      </c>
      <c r="BF78" s="5">
        <v>73</v>
      </c>
    </row>
    <row r="79" spans="1:58">
      <c r="A79">
        <v>73</v>
      </c>
      <c r="B79" t="s">
        <v>90</v>
      </c>
      <c r="C79">
        <v>0</v>
      </c>
      <c r="D79">
        <v>1</v>
      </c>
      <c r="E79">
        <v>1</v>
      </c>
      <c r="F79">
        <v>2</v>
      </c>
      <c r="H79">
        <v>74</v>
      </c>
      <c r="I79" t="s">
        <v>116</v>
      </c>
      <c r="J79">
        <v>0</v>
      </c>
      <c r="K79">
        <v>0</v>
      </c>
      <c r="L79">
        <v>2</v>
      </c>
      <c r="M79">
        <v>2</v>
      </c>
      <c r="N79">
        <f>80-74</f>
        <v>6</v>
      </c>
      <c r="P79">
        <v>74</v>
      </c>
      <c r="Q79" t="s">
        <v>90</v>
      </c>
      <c r="R79">
        <v>0</v>
      </c>
      <c r="S79">
        <v>1</v>
      </c>
      <c r="T79">
        <v>1</v>
      </c>
      <c r="U79">
        <f t="shared" ref="U71:U97" si="8">(R79*3)+(S79*2)+T79</f>
        <v>3</v>
      </c>
      <c r="X79">
        <v>74</v>
      </c>
      <c r="Y79" t="s">
        <v>116</v>
      </c>
      <c r="Z79">
        <v>0</v>
      </c>
      <c r="AA79">
        <v>0</v>
      </c>
      <c r="AB79">
        <v>2</v>
      </c>
      <c r="AC79" s="6">
        <f t="shared" si="6"/>
        <v>2</v>
      </c>
      <c r="AF79">
        <v>73</v>
      </c>
      <c r="AG79" t="s">
        <v>90</v>
      </c>
      <c r="AH79">
        <v>0</v>
      </c>
      <c r="AI79">
        <v>1</v>
      </c>
      <c r="AJ79">
        <v>1</v>
      </c>
      <c r="AM79" s="2">
        <v>2</v>
      </c>
      <c r="AO79">
        <v>74</v>
      </c>
      <c r="AP79" s="5" t="s">
        <v>62</v>
      </c>
      <c r="AQ79">
        <v>3</v>
      </c>
      <c r="AR79">
        <v>7</v>
      </c>
      <c r="AS79">
        <v>10</v>
      </c>
      <c r="AT79" s="3">
        <v>207847528</v>
      </c>
      <c r="AU79" s="2">
        <f>AT79/(SUM(AQ79:AS79))</f>
        <v>10392376.4</v>
      </c>
      <c r="AV79" s="9">
        <f>AW79*100/AT79</f>
        <v>9.62243823270296e-6</v>
      </c>
      <c r="AW79">
        <v>20</v>
      </c>
      <c r="AX79">
        <f>20-74</f>
        <v>-54</v>
      </c>
      <c r="AY79">
        <v>13</v>
      </c>
      <c r="AZ79">
        <f t="shared" si="7"/>
        <v>43.5</v>
      </c>
      <c r="BB79" s="5">
        <v>51</v>
      </c>
      <c r="BC79" s="5" t="s">
        <v>32</v>
      </c>
      <c r="BD79" s="5">
        <v>1</v>
      </c>
      <c r="BE79" s="5">
        <f>(BD79+BB79)/2</f>
        <v>26</v>
      </c>
      <c r="BF79" s="5">
        <v>74</v>
      </c>
    </row>
    <row r="80" spans="1:58">
      <c r="A80">
        <v>74</v>
      </c>
      <c r="B80" t="s">
        <v>113</v>
      </c>
      <c r="C80">
        <v>0</v>
      </c>
      <c r="D80">
        <v>1</v>
      </c>
      <c r="E80">
        <v>0</v>
      </c>
      <c r="F80">
        <v>1</v>
      </c>
      <c r="H80">
        <v>75</v>
      </c>
      <c r="I80" t="s">
        <v>41</v>
      </c>
      <c r="J80">
        <v>0</v>
      </c>
      <c r="K80">
        <v>0</v>
      </c>
      <c r="L80">
        <v>2</v>
      </c>
      <c r="M80">
        <v>2</v>
      </c>
      <c r="N80">
        <f>81-75</f>
        <v>6</v>
      </c>
      <c r="P80">
        <v>75</v>
      </c>
      <c r="Q80" t="s">
        <v>110</v>
      </c>
      <c r="R80">
        <v>0</v>
      </c>
      <c r="S80">
        <v>0</v>
      </c>
      <c r="T80">
        <v>3</v>
      </c>
      <c r="U80">
        <f t="shared" si="8"/>
        <v>3</v>
      </c>
      <c r="X80">
        <v>75</v>
      </c>
      <c r="Y80" t="s">
        <v>41</v>
      </c>
      <c r="Z80">
        <v>0</v>
      </c>
      <c r="AA80">
        <v>0</v>
      </c>
      <c r="AB80">
        <v>2</v>
      </c>
      <c r="AC80" s="6">
        <f t="shared" si="6"/>
        <v>2</v>
      </c>
      <c r="AF80">
        <v>74</v>
      </c>
      <c r="AG80" t="s">
        <v>113</v>
      </c>
      <c r="AH80">
        <v>0</v>
      </c>
      <c r="AI80">
        <v>1</v>
      </c>
      <c r="AJ80">
        <v>0</v>
      </c>
      <c r="AM80" s="2">
        <v>1</v>
      </c>
      <c r="AO80">
        <v>75</v>
      </c>
      <c r="AP80" t="s">
        <v>105</v>
      </c>
      <c r="AQ80">
        <v>1</v>
      </c>
      <c r="AR80">
        <v>3</v>
      </c>
      <c r="AS80">
        <v>2</v>
      </c>
      <c r="AT80" s="3">
        <v>67959359</v>
      </c>
      <c r="AV80" s="9">
        <f>AW80*100/AT80</f>
        <v>8.82880605156973e-6</v>
      </c>
      <c r="AW80">
        <v>6</v>
      </c>
      <c r="AY80">
        <v>42</v>
      </c>
      <c r="AZ80">
        <f t="shared" si="7"/>
        <v>58.5</v>
      </c>
      <c r="BB80">
        <v>30</v>
      </c>
      <c r="BC80" t="s">
        <v>88</v>
      </c>
      <c r="BD80">
        <v>21</v>
      </c>
      <c r="BE80">
        <f>(BD80+BB80)/2</f>
        <v>25.5</v>
      </c>
      <c r="BF80">
        <v>75</v>
      </c>
    </row>
    <row r="81" spans="2:58">
      <c r="B81" t="s">
        <v>96</v>
      </c>
      <c r="C81">
        <v>0</v>
      </c>
      <c r="D81">
        <v>1</v>
      </c>
      <c r="E81">
        <v>0</v>
      </c>
      <c r="F81">
        <v>1</v>
      </c>
      <c r="H81">
        <v>76</v>
      </c>
      <c r="I81" t="s">
        <v>58</v>
      </c>
      <c r="J81">
        <v>0</v>
      </c>
      <c r="K81">
        <v>0</v>
      </c>
      <c r="L81">
        <v>2</v>
      </c>
      <c r="M81">
        <v>2</v>
      </c>
      <c r="N81">
        <f>82-76</f>
        <v>6</v>
      </c>
      <c r="P81">
        <v>76</v>
      </c>
      <c r="Q81" t="s">
        <v>113</v>
      </c>
      <c r="R81">
        <v>0</v>
      </c>
      <c r="S81">
        <v>1</v>
      </c>
      <c r="T81">
        <v>0</v>
      </c>
      <c r="U81">
        <f t="shared" si="8"/>
        <v>2</v>
      </c>
      <c r="X81">
        <v>76</v>
      </c>
      <c r="Y81" t="s">
        <v>58</v>
      </c>
      <c r="Z81">
        <v>0</v>
      </c>
      <c r="AA81">
        <v>0</v>
      </c>
      <c r="AB81">
        <v>2</v>
      </c>
      <c r="AC81" s="6">
        <f t="shared" si="6"/>
        <v>2</v>
      </c>
      <c r="AG81" t="s">
        <v>96</v>
      </c>
      <c r="AH81">
        <v>0</v>
      </c>
      <c r="AI81">
        <v>1</v>
      </c>
      <c r="AJ81">
        <v>0</v>
      </c>
      <c r="AM81" s="2">
        <v>1</v>
      </c>
      <c r="AO81">
        <v>76</v>
      </c>
      <c r="AP81" t="s">
        <v>95</v>
      </c>
      <c r="AQ81">
        <v>0</v>
      </c>
      <c r="AR81">
        <v>3</v>
      </c>
      <c r="AS81">
        <v>1</v>
      </c>
      <c r="AT81" s="3">
        <v>48228704</v>
      </c>
      <c r="AU81" s="2"/>
      <c r="AV81" s="9">
        <f>AW81*100/AT81</f>
        <v>8.29381606439186e-6</v>
      </c>
      <c r="AW81">
        <v>4</v>
      </c>
      <c r="AY81">
        <v>56</v>
      </c>
      <c r="AZ81">
        <f t="shared" si="7"/>
        <v>66</v>
      </c>
      <c r="BB81">
        <v>41</v>
      </c>
      <c r="BC81" t="s">
        <v>55</v>
      </c>
      <c r="BD81">
        <v>10</v>
      </c>
      <c r="BE81">
        <f>(BD81+BB81)/2</f>
        <v>25.5</v>
      </c>
      <c r="BF81">
        <v>76</v>
      </c>
    </row>
    <row r="82" spans="2:58">
      <c r="B82" t="s">
        <v>54</v>
      </c>
      <c r="C82">
        <v>0</v>
      </c>
      <c r="D82">
        <v>1</v>
      </c>
      <c r="E82">
        <v>0</v>
      </c>
      <c r="F82">
        <v>1</v>
      </c>
      <c r="H82">
        <v>77</v>
      </c>
      <c r="I82" t="s">
        <v>108</v>
      </c>
      <c r="J82">
        <v>0</v>
      </c>
      <c r="K82">
        <v>0</v>
      </c>
      <c r="L82">
        <v>2</v>
      </c>
      <c r="M82">
        <v>2</v>
      </c>
      <c r="N82">
        <f>83-77</f>
        <v>6</v>
      </c>
      <c r="P82">
        <v>77</v>
      </c>
      <c r="Q82" t="s">
        <v>96</v>
      </c>
      <c r="R82">
        <v>0</v>
      </c>
      <c r="S82">
        <v>1</v>
      </c>
      <c r="T82">
        <v>0</v>
      </c>
      <c r="U82">
        <f t="shared" si="8"/>
        <v>2</v>
      </c>
      <c r="X82">
        <v>77</v>
      </c>
      <c r="Y82" t="s">
        <v>108</v>
      </c>
      <c r="Z82">
        <v>0</v>
      </c>
      <c r="AA82">
        <v>0</v>
      </c>
      <c r="AB82">
        <v>2</v>
      </c>
      <c r="AC82" s="6">
        <f t="shared" si="6"/>
        <v>2</v>
      </c>
      <c r="AG82" t="s">
        <v>54</v>
      </c>
      <c r="AH82">
        <v>0</v>
      </c>
      <c r="AI82">
        <v>1</v>
      </c>
      <c r="AJ82">
        <v>0</v>
      </c>
      <c r="AM82" s="2">
        <v>1</v>
      </c>
      <c r="AO82">
        <v>77</v>
      </c>
      <c r="AP82" t="s">
        <v>87</v>
      </c>
      <c r="AQ82">
        <v>2</v>
      </c>
      <c r="AR82">
        <v>0</v>
      </c>
      <c r="AS82">
        <v>1</v>
      </c>
      <c r="AT82" s="3">
        <v>39666519</v>
      </c>
      <c r="AU82" s="2"/>
      <c r="AV82" s="9">
        <f>AW82*100/AT82</f>
        <v>7.56305336498017e-6</v>
      </c>
      <c r="AW82">
        <v>3</v>
      </c>
      <c r="AY82">
        <v>63</v>
      </c>
      <c r="AZ82">
        <f t="shared" si="7"/>
        <v>70</v>
      </c>
      <c r="BB82">
        <v>17</v>
      </c>
      <c r="BC82" t="s">
        <v>79</v>
      </c>
      <c r="BD82">
        <v>32</v>
      </c>
      <c r="BE82">
        <f>(BD82+BB82)/2</f>
        <v>24.5</v>
      </c>
      <c r="BF82">
        <v>77</v>
      </c>
    </row>
    <row r="83" spans="2:58">
      <c r="B83" t="s">
        <v>85</v>
      </c>
      <c r="C83">
        <v>0</v>
      </c>
      <c r="D83">
        <v>1</v>
      </c>
      <c r="E83">
        <v>0</v>
      </c>
      <c r="F83">
        <v>1</v>
      </c>
      <c r="H83">
        <v>78</v>
      </c>
      <c r="I83" t="s">
        <v>44</v>
      </c>
      <c r="J83">
        <v>1</v>
      </c>
      <c r="K83">
        <v>0</v>
      </c>
      <c r="L83">
        <v>0</v>
      </c>
      <c r="M83">
        <v>1</v>
      </c>
      <c r="N83">
        <f>62-78</f>
        <v>-16</v>
      </c>
      <c r="P83">
        <v>78</v>
      </c>
      <c r="Q83" t="s">
        <v>54</v>
      </c>
      <c r="R83">
        <v>0</v>
      </c>
      <c r="S83">
        <v>1</v>
      </c>
      <c r="T83">
        <v>0</v>
      </c>
      <c r="U83">
        <f t="shared" si="8"/>
        <v>2</v>
      </c>
      <c r="X83">
        <v>78</v>
      </c>
      <c r="Y83" t="s">
        <v>44</v>
      </c>
      <c r="Z83">
        <v>1</v>
      </c>
      <c r="AA83">
        <v>0</v>
      </c>
      <c r="AB83">
        <v>0</v>
      </c>
      <c r="AC83" s="6">
        <f t="shared" si="6"/>
        <v>1</v>
      </c>
      <c r="AG83" t="s">
        <v>85</v>
      </c>
      <c r="AH83">
        <v>0</v>
      </c>
      <c r="AI83">
        <v>1</v>
      </c>
      <c r="AJ83">
        <v>0</v>
      </c>
      <c r="AM83" s="2">
        <v>1</v>
      </c>
      <c r="AO83">
        <v>78</v>
      </c>
      <c r="AP83" t="s">
        <v>80</v>
      </c>
      <c r="AQ83">
        <v>1</v>
      </c>
      <c r="AR83">
        <v>1</v>
      </c>
      <c r="AS83">
        <v>1</v>
      </c>
      <c r="AT83" s="3">
        <v>43416755</v>
      </c>
      <c r="AU83" s="2"/>
      <c r="AV83" s="9">
        <f>AW83*100/AT83</f>
        <v>6.90977480928734e-6</v>
      </c>
      <c r="AW83">
        <v>3</v>
      </c>
      <c r="AY83">
        <v>64</v>
      </c>
      <c r="AZ83">
        <f t="shared" si="7"/>
        <v>71</v>
      </c>
      <c r="BB83">
        <v>9</v>
      </c>
      <c r="BC83" t="s">
        <v>57</v>
      </c>
      <c r="BD83">
        <v>38</v>
      </c>
      <c r="BE83">
        <f>(BD83+BB83)/2</f>
        <v>23.5</v>
      </c>
      <c r="BF83">
        <v>78</v>
      </c>
    </row>
    <row r="84" spans="2:58">
      <c r="B84" t="s">
        <v>69</v>
      </c>
      <c r="C84">
        <v>0</v>
      </c>
      <c r="D84">
        <v>1</v>
      </c>
      <c r="E84">
        <v>0</v>
      </c>
      <c r="F84">
        <v>1</v>
      </c>
      <c r="H84">
        <v>79</v>
      </c>
      <c r="I84" t="s">
        <v>34</v>
      </c>
      <c r="J84">
        <v>1</v>
      </c>
      <c r="K84">
        <v>0</v>
      </c>
      <c r="L84">
        <v>0</v>
      </c>
      <c r="M84">
        <v>1</v>
      </c>
      <c r="N84">
        <f>63-79</f>
        <v>-16</v>
      </c>
      <c r="P84">
        <v>79</v>
      </c>
      <c r="Q84" t="s">
        <v>85</v>
      </c>
      <c r="R84">
        <v>0</v>
      </c>
      <c r="S84">
        <v>1</v>
      </c>
      <c r="T84">
        <v>0</v>
      </c>
      <c r="U84">
        <f t="shared" si="8"/>
        <v>2</v>
      </c>
      <c r="X84">
        <v>79</v>
      </c>
      <c r="Y84" t="s">
        <v>34</v>
      </c>
      <c r="Z84">
        <v>1</v>
      </c>
      <c r="AA84">
        <v>0</v>
      </c>
      <c r="AB84">
        <v>0</v>
      </c>
      <c r="AC84" s="6">
        <f t="shared" si="6"/>
        <v>1</v>
      </c>
      <c r="AG84" t="s">
        <v>69</v>
      </c>
      <c r="AH84">
        <v>0</v>
      </c>
      <c r="AI84">
        <v>1</v>
      </c>
      <c r="AJ84">
        <v>0</v>
      </c>
      <c r="AM84" s="2">
        <v>1</v>
      </c>
      <c r="AO84">
        <v>79</v>
      </c>
      <c r="AP84" t="s">
        <v>35</v>
      </c>
      <c r="AQ84">
        <v>40</v>
      </c>
      <c r="AR84">
        <v>27</v>
      </c>
      <c r="AS84">
        <v>24</v>
      </c>
      <c r="AT84" s="3">
        <v>1371220000</v>
      </c>
      <c r="AU84" s="2">
        <f>AT84/(SUM(AQ84:AS84))</f>
        <v>15068351.6483516</v>
      </c>
      <c r="AV84" s="9">
        <f>AW84*100/AT84</f>
        <v>6.63642595644754e-6</v>
      </c>
      <c r="AW84">
        <v>91</v>
      </c>
      <c r="AX84">
        <f>2-79</f>
        <v>-77</v>
      </c>
      <c r="AY84">
        <v>2</v>
      </c>
      <c r="AZ84">
        <f t="shared" si="7"/>
        <v>40.5</v>
      </c>
      <c r="BB84">
        <v>40</v>
      </c>
      <c r="BC84" t="s">
        <v>51</v>
      </c>
      <c r="BD84">
        <v>7</v>
      </c>
      <c r="BE84">
        <f>(BD84+BB84)/2</f>
        <v>23.5</v>
      </c>
      <c r="BF84">
        <v>79</v>
      </c>
    </row>
    <row r="85" spans="1:58">
      <c r="A85">
        <v>79</v>
      </c>
      <c r="B85" t="s">
        <v>110</v>
      </c>
      <c r="C85">
        <v>0</v>
      </c>
      <c r="D85">
        <v>0</v>
      </c>
      <c r="E85">
        <v>3</v>
      </c>
      <c r="F85">
        <v>3</v>
      </c>
      <c r="H85">
        <v>80</v>
      </c>
      <c r="I85" t="s">
        <v>113</v>
      </c>
      <c r="J85">
        <v>0</v>
      </c>
      <c r="K85">
        <v>1</v>
      </c>
      <c r="L85">
        <v>0</v>
      </c>
      <c r="M85">
        <v>1</v>
      </c>
      <c r="N85">
        <f>74-80</f>
        <v>-6</v>
      </c>
      <c r="P85">
        <v>80</v>
      </c>
      <c r="Q85" t="s">
        <v>69</v>
      </c>
      <c r="R85">
        <v>0</v>
      </c>
      <c r="S85">
        <v>1</v>
      </c>
      <c r="T85">
        <v>0</v>
      </c>
      <c r="U85">
        <f t="shared" si="8"/>
        <v>2</v>
      </c>
      <c r="X85">
        <v>80</v>
      </c>
      <c r="Y85" t="s">
        <v>113</v>
      </c>
      <c r="Z85">
        <v>0</v>
      </c>
      <c r="AA85">
        <v>1</v>
      </c>
      <c r="AB85">
        <v>0</v>
      </c>
      <c r="AC85" s="6">
        <f t="shared" si="6"/>
        <v>1</v>
      </c>
      <c r="AF85">
        <v>79</v>
      </c>
      <c r="AG85" t="s">
        <v>110</v>
      </c>
      <c r="AH85">
        <v>0</v>
      </c>
      <c r="AI85">
        <v>0</v>
      </c>
      <c r="AJ85">
        <v>3</v>
      </c>
      <c r="AM85" s="2">
        <v>3</v>
      </c>
      <c r="AO85">
        <v>80</v>
      </c>
      <c r="AP85" t="s">
        <v>58</v>
      </c>
      <c r="AQ85">
        <v>0</v>
      </c>
      <c r="AR85">
        <v>0</v>
      </c>
      <c r="AS85">
        <v>2</v>
      </c>
      <c r="AT85" s="3">
        <v>30331007</v>
      </c>
      <c r="AU85" s="2"/>
      <c r="AV85" s="9">
        <f>AW85*100/AT85</f>
        <v>6.59391229575728e-6</v>
      </c>
      <c r="AW85">
        <v>2</v>
      </c>
      <c r="AY85">
        <v>75</v>
      </c>
      <c r="AZ85">
        <f t="shared" si="7"/>
        <v>77.5</v>
      </c>
      <c r="BB85">
        <v>35</v>
      </c>
      <c r="BC85" t="s">
        <v>61</v>
      </c>
      <c r="BD85">
        <v>11</v>
      </c>
      <c r="BE85">
        <f>(BD85+BB85)/2</f>
        <v>23</v>
      </c>
      <c r="BF85">
        <v>80</v>
      </c>
    </row>
    <row r="86" spans="1:58">
      <c r="A86">
        <v>80</v>
      </c>
      <c r="B86" t="s">
        <v>116</v>
      </c>
      <c r="C86">
        <v>0</v>
      </c>
      <c r="D86">
        <v>0</v>
      </c>
      <c r="E86">
        <v>2</v>
      </c>
      <c r="F86">
        <v>2</v>
      </c>
      <c r="H86">
        <v>81</v>
      </c>
      <c r="I86" t="s">
        <v>96</v>
      </c>
      <c r="J86">
        <v>0</v>
      </c>
      <c r="K86">
        <v>1</v>
      </c>
      <c r="L86">
        <v>0</v>
      </c>
      <c r="M86">
        <v>1</v>
      </c>
      <c r="N86">
        <f>75-81</f>
        <v>-6</v>
      </c>
      <c r="P86">
        <v>81</v>
      </c>
      <c r="Q86" t="s">
        <v>116</v>
      </c>
      <c r="R86">
        <v>0</v>
      </c>
      <c r="S86">
        <v>0</v>
      </c>
      <c r="T86">
        <v>2</v>
      </c>
      <c r="U86">
        <f t="shared" si="8"/>
        <v>2</v>
      </c>
      <c r="V86" t="s">
        <v>125</v>
      </c>
      <c r="W86" t="s">
        <v>4</v>
      </c>
      <c r="X86">
        <v>81</v>
      </c>
      <c r="Y86" t="s">
        <v>96</v>
      </c>
      <c r="Z86">
        <v>0</v>
      </c>
      <c r="AA86">
        <v>1</v>
      </c>
      <c r="AB86">
        <v>0</v>
      </c>
      <c r="AC86" s="6">
        <f t="shared" si="6"/>
        <v>1</v>
      </c>
      <c r="AF86">
        <v>80</v>
      </c>
      <c r="AG86" t="s">
        <v>116</v>
      </c>
      <c r="AH86">
        <v>0</v>
      </c>
      <c r="AI86">
        <v>0</v>
      </c>
      <c r="AJ86">
        <v>2</v>
      </c>
      <c r="AM86" s="2">
        <v>2</v>
      </c>
      <c r="AO86">
        <v>81</v>
      </c>
      <c r="AP86" t="s">
        <v>45</v>
      </c>
      <c r="AQ86">
        <v>0</v>
      </c>
      <c r="AR86">
        <v>0</v>
      </c>
      <c r="AS86">
        <v>1</v>
      </c>
      <c r="AT86" s="3">
        <v>16211767</v>
      </c>
      <c r="AU86" s="2"/>
      <c r="AV86" s="9">
        <f>AW86*100/AT86</f>
        <v>6.16835906906385e-6</v>
      </c>
      <c r="AW86">
        <v>1</v>
      </c>
      <c r="AY86">
        <v>89</v>
      </c>
      <c r="AZ86">
        <f t="shared" si="7"/>
        <v>85</v>
      </c>
      <c r="BB86">
        <v>1</v>
      </c>
      <c r="BC86" t="s">
        <v>33</v>
      </c>
      <c r="BD86">
        <v>44</v>
      </c>
      <c r="BE86">
        <f>(BD86+BB86)/2</f>
        <v>22.5</v>
      </c>
      <c r="BF86">
        <v>81</v>
      </c>
    </row>
    <row r="87" spans="2:58">
      <c r="B87" t="s">
        <v>41</v>
      </c>
      <c r="C87">
        <v>0</v>
      </c>
      <c r="D87">
        <v>0</v>
      </c>
      <c r="E87">
        <v>2</v>
      </c>
      <c r="F87">
        <v>2</v>
      </c>
      <c r="H87">
        <v>82</v>
      </c>
      <c r="I87" t="s">
        <v>54</v>
      </c>
      <c r="J87">
        <v>0</v>
      </c>
      <c r="K87">
        <v>1</v>
      </c>
      <c r="L87">
        <v>0</v>
      </c>
      <c r="M87">
        <v>1</v>
      </c>
      <c r="N87">
        <f>76-82</f>
        <v>-6</v>
      </c>
      <c r="P87">
        <v>82</v>
      </c>
      <c r="Q87" t="s">
        <v>41</v>
      </c>
      <c r="R87">
        <v>0</v>
      </c>
      <c r="S87">
        <v>0</v>
      </c>
      <c r="T87">
        <v>2</v>
      </c>
      <c r="U87">
        <f t="shared" si="8"/>
        <v>2</v>
      </c>
      <c r="V87" t="s">
        <v>125</v>
      </c>
      <c r="W87" t="s">
        <v>4</v>
      </c>
      <c r="X87">
        <v>82</v>
      </c>
      <c r="Y87" t="s">
        <v>54</v>
      </c>
      <c r="Z87">
        <v>0</v>
      </c>
      <c r="AA87">
        <v>1</v>
      </c>
      <c r="AB87">
        <v>0</v>
      </c>
      <c r="AC87" s="6">
        <f t="shared" si="6"/>
        <v>1</v>
      </c>
      <c r="AG87" t="s">
        <v>41</v>
      </c>
      <c r="AH87">
        <v>0</v>
      </c>
      <c r="AI87">
        <v>0</v>
      </c>
      <c r="AJ87">
        <v>2</v>
      </c>
      <c r="AM87" s="2">
        <v>2</v>
      </c>
      <c r="AO87">
        <v>82</v>
      </c>
      <c r="AP87" t="s">
        <v>50</v>
      </c>
      <c r="AQ87">
        <v>1</v>
      </c>
      <c r="AR87">
        <v>0</v>
      </c>
      <c r="AS87">
        <v>1</v>
      </c>
      <c r="AT87" s="3">
        <v>34377511</v>
      </c>
      <c r="AU87" s="2"/>
      <c r="AV87" s="9">
        <f>AW87*100/AT87</f>
        <v>5.81775684691076e-6</v>
      </c>
      <c r="AW87">
        <v>2</v>
      </c>
      <c r="AY87">
        <v>76</v>
      </c>
      <c r="AZ87">
        <f t="shared" si="7"/>
        <v>79</v>
      </c>
      <c r="BB87">
        <v>14</v>
      </c>
      <c r="BC87" t="s">
        <v>70</v>
      </c>
      <c r="BD87">
        <v>31</v>
      </c>
      <c r="BE87">
        <f>(BD87+BB87)/2</f>
        <v>22.5</v>
      </c>
      <c r="BF87">
        <v>82</v>
      </c>
    </row>
    <row r="88" spans="2:58">
      <c r="B88" t="s">
        <v>58</v>
      </c>
      <c r="C88">
        <v>0</v>
      </c>
      <c r="D88">
        <v>0</v>
      </c>
      <c r="E88">
        <v>2</v>
      </c>
      <c r="F88">
        <v>2</v>
      </c>
      <c r="H88">
        <v>83</v>
      </c>
      <c r="I88" t="s">
        <v>85</v>
      </c>
      <c r="J88">
        <v>0</v>
      </c>
      <c r="K88">
        <v>1</v>
      </c>
      <c r="L88">
        <v>0</v>
      </c>
      <c r="M88">
        <v>1</v>
      </c>
      <c r="N88">
        <f>77-83</f>
        <v>-6</v>
      </c>
      <c r="P88">
        <v>83</v>
      </c>
      <c r="Q88" t="s">
        <v>58</v>
      </c>
      <c r="R88">
        <v>0</v>
      </c>
      <c r="S88">
        <v>0</v>
      </c>
      <c r="T88">
        <v>2</v>
      </c>
      <c r="U88">
        <f t="shared" si="8"/>
        <v>2</v>
      </c>
      <c r="V88" t="s">
        <v>125</v>
      </c>
      <c r="W88" t="s">
        <v>4</v>
      </c>
      <c r="X88">
        <v>83</v>
      </c>
      <c r="Y88" t="s">
        <v>85</v>
      </c>
      <c r="Z88">
        <v>0</v>
      </c>
      <c r="AA88">
        <v>1</v>
      </c>
      <c r="AB88">
        <v>0</v>
      </c>
      <c r="AC88" s="6">
        <f t="shared" si="6"/>
        <v>1</v>
      </c>
      <c r="AG88" t="s">
        <v>58</v>
      </c>
      <c r="AH88">
        <v>0</v>
      </c>
      <c r="AI88">
        <v>0</v>
      </c>
      <c r="AJ88">
        <v>2</v>
      </c>
      <c r="AM88" s="2">
        <v>2</v>
      </c>
      <c r="AO88">
        <v>83</v>
      </c>
      <c r="AP88" t="s">
        <v>48</v>
      </c>
      <c r="AQ88">
        <v>1</v>
      </c>
      <c r="AR88">
        <v>1</v>
      </c>
      <c r="AS88">
        <v>0</v>
      </c>
      <c r="AT88" s="3">
        <v>39032383</v>
      </c>
      <c r="AU88" s="2"/>
      <c r="AV88" s="9">
        <f>AW88*100/AT88</f>
        <v>5.12395054127236e-6</v>
      </c>
      <c r="AW88">
        <v>2</v>
      </c>
      <c r="AY88">
        <v>77</v>
      </c>
      <c r="AZ88">
        <f t="shared" si="7"/>
        <v>80</v>
      </c>
      <c r="BB88">
        <v>13</v>
      </c>
      <c r="BC88" t="s">
        <v>68</v>
      </c>
      <c r="BD88">
        <v>30</v>
      </c>
      <c r="BE88">
        <f>(BD88+BB88)/2</f>
        <v>21.5</v>
      </c>
      <c r="BF88">
        <v>83</v>
      </c>
    </row>
    <row r="89" spans="2:58">
      <c r="B89" t="s">
        <v>108</v>
      </c>
      <c r="C89">
        <v>0</v>
      </c>
      <c r="D89">
        <v>0</v>
      </c>
      <c r="E89">
        <v>2</v>
      </c>
      <c r="F89">
        <v>2</v>
      </c>
      <c r="H89">
        <v>84</v>
      </c>
      <c r="I89" t="s">
        <v>69</v>
      </c>
      <c r="J89">
        <v>0</v>
      </c>
      <c r="K89">
        <v>1</v>
      </c>
      <c r="L89">
        <v>0</v>
      </c>
      <c r="M89">
        <v>1</v>
      </c>
      <c r="N89">
        <f>78-84</f>
        <v>-6</v>
      </c>
      <c r="P89">
        <v>84</v>
      </c>
      <c r="Q89" t="s">
        <v>108</v>
      </c>
      <c r="R89">
        <v>0</v>
      </c>
      <c r="S89">
        <v>0</v>
      </c>
      <c r="T89">
        <v>2</v>
      </c>
      <c r="U89">
        <f t="shared" si="8"/>
        <v>2</v>
      </c>
      <c r="V89" t="s">
        <v>125</v>
      </c>
      <c r="W89" t="s">
        <v>4</v>
      </c>
      <c r="X89">
        <v>84</v>
      </c>
      <c r="Y89" t="s">
        <v>69</v>
      </c>
      <c r="Z89">
        <v>0</v>
      </c>
      <c r="AA89">
        <v>1</v>
      </c>
      <c r="AB89">
        <v>0</v>
      </c>
      <c r="AC89" s="6">
        <f t="shared" si="6"/>
        <v>1</v>
      </c>
      <c r="AG89" t="s">
        <v>108</v>
      </c>
      <c r="AH89">
        <v>0</v>
      </c>
      <c r="AI89">
        <v>0</v>
      </c>
      <c r="AJ89">
        <v>2</v>
      </c>
      <c r="AM89" s="2">
        <v>2</v>
      </c>
      <c r="AO89">
        <v>84</v>
      </c>
      <c r="AP89" t="s">
        <v>42</v>
      </c>
      <c r="AQ89">
        <v>0</v>
      </c>
      <c r="AR89">
        <v>0</v>
      </c>
      <c r="AS89">
        <v>1</v>
      </c>
      <c r="AT89" s="3">
        <v>22701556</v>
      </c>
      <c r="AU89" s="2"/>
      <c r="AV89" s="9">
        <f>AW89*100/AT89</f>
        <v>4.40498439842626e-6</v>
      </c>
      <c r="AW89">
        <v>1</v>
      </c>
      <c r="AY89">
        <v>90</v>
      </c>
      <c r="AZ89">
        <f t="shared" si="7"/>
        <v>87</v>
      </c>
      <c r="BB89">
        <v>16</v>
      </c>
      <c r="BC89" t="s">
        <v>75</v>
      </c>
      <c r="BD89">
        <v>26</v>
      </c>
      <c r="BE89">
        <f>(BD89+BB89)/2</f>
        <v>21</v>
      </c>
      <c r="BF89">
        <v>84</v>
      </c>
    </row>
    <row r="90" spans="1:58">
      <c r="A90">
        <v>84</v>
      </c>
      <c r="B90" t="s">
        <v>65</v>
      </c>
      <c r="C90">
        <v>0</v>
      </c>
      <c r="D90">
        <v>0</v>
      </c>
      <c r="E90">
        <v>1</v>
      </c>
      <c r="F90">
        <v>1</v>
      </c>
      <c r="H90">
        <v>85</v>
      </c>
      <c r="I90" t="s">
        <v>65</v>
      </c>
      <c r="J90">
        <v>0</v>
      </c>
      <c r="K90">
        <v>0</v>
      </c>
      <c r="L90">
        <v>1</v>
      </c>
      <c r="M90">
        <v>1</v>
      </c>
      <c r="N90">
        <f>84-85</f>
        <v>-1</v>
      </c>
      <c r="P90">
        <v>85</v>
      </c>
      <c r="Q90" t="s">
        <v>65</v>
      </c>
      <c r="R90">
        <v>0</v>
      </c>
      <c r="S90">
        <v>0</v>
      </c>
      <c r="T90">
        <v>1</v>
      </c>
      <c r="U90">
        <f t="shared" si="8"/>
        <v>1</v>
      </c>
      <c r="V90" t="s">
        <v>125</v>
      </c>
      <c r="W90" t="s">
        <v>4</v>
      </c>
      <c r="X90">
        <v>85</v>
      </c>
      <c r="Y90" t="s">
        <v>65</v>
      </c>
      <c r="Z90">
        <v>0</v>
      </c>
      <c r="AA90">
        <v>0</v>
      </c>
      <c r="AB90">
        <v>1</v>
      </c>
      <c r="AC90" s="6">
        <f t="shared" si="6"/>
        <v>1</v>
      </c>
      <c r="AF90">
        <v>84</v>
      </c>
      <c r="AG90" t="s">
        <v>65</v>
      </c>
      <c r="AH90">
        <v>0</v>
      </c>
      <c r="AI90">
        <v>0</v>
      </c>
      <c r="AJ90">
        <v>1</v>
      </c>
      <c r="AM90" s="2">
        <v>1</v>
      </c>
      <c r="AO90">
        <v>85</v>
      </c>
      <c r="AP90" t="s">
        <v>83</v>
      </c>
      <c r="AQ90">
        <v>1</v>
      </c>
      <c r="AR90">
        <v>3</v>
      </c>
      <c r="AS90">
        <v>0</v>
      </c>
      <c r="AT90" s="3">
        <v>99390750</v>
      </c>
      <c r="AU90" s="2"/>
      <c r="AV90" s="9">
        <f>AW90*100/AT90</f>
        <v>4.02451938434915e-6</v>
      </c>
      <c r="AW90">
        <v>4</v>
      </c>
      <c r="AY90">
        <v>57</v>
      </c>
      <c r="AZ90">
        <f t="shared" si="7"/>
        <v>71</v>
      </c>
      <c r="BB90">
        <v>23</v>
      </c>
      <c r="BC90" t="s">
        <v>74</v>
      </c>
      <c r="BD90">
        <v>19</v>
      </c>
      <c r="BE90">
        <f>(BD90+BB90)/2</f>
        <v>21</v>
      </c>
      <c r="BF90">
        <v>85</v>
      </c>
    </row>
    <row r="91" spans="2:58">
      <c r="B91" t="s">
        <v>42</v>
      </c>
      <c r="C91">
        <v>0</v>
      </c>
      <c r="D91">
        <v>0</v>
      </c>
      <c r="E91">
        <v>1</v>
      </c>
      <c r="F91">
        <v>1</v>
      </c>
      <c r="H91">
        <v>86</v>
      </c>
      <c r="I91" t="s">
        <v>42</v>
      </c>
      <c r="J91">
        <v>0</v>
      </c>
      <c r="K91">
        <v>0</v>
      </c>
      <c r="L91">
        <v>1</v>
      </c>
      <c r="M91">
        <v>1</v>
      </c>
      <c r="N91">
        <f>85-86</f>
        <v>-1</v>
      </c>
      <c r="P91">
        <v>86</v>
      </c>
      <c r="Q91" t="s">
        <v>42</v>
      </c>
      <c r="R91">
        <v>0</v>
      </c>
      <c r="S91">
        <v>0</v>
      </c>
      <c r="T91">
        <v>1</v>
      </c>
      <c r="U91">
        <f t="shared" si="8"/>
        <v>1</v>
      </c>
      <c r="V91" t="s">
        <v>125</v>
      </c>
      <c r="W91" t="s">
        <v>4</v>
      </c>
      <c r="X91">
        <v>86</v>
      </c>
      <c r="Y91" t="s">
        <v>42</v>
      </c>
      <c r="Z91">
        <v>0</v>
      </c>
      <c r="AA91">
        <v>0</v>
      </c>
      <c r="AB91">
        <v>1</v>
      </c>
      <c r="AC91" s="6">
        <f t="shared" si="6"/>
        <v>1</v>
      </c>
      <c r="AG91" t="s">
        <v>42</v>
      </c>
      <c r="AH91">
        <v>0</v>
      </c>
      <c r="AI91">
        <v>0</v>
      </c>
      <c r="AJ91">
        <v>1</v>
      </c>
      <c r="AM91" s="2">
        <v>1</v>
      </c>
      <c r="AO91">
        <v>86</v>
      </c>
      <c r="AP91" t="s">
        <v>73</v>
      </c>
      <c r="AQ91">
        <v>2</v>
      </c>
      <c r="AR91">
        <v>0</v>
      </c>
      <c r="AS91">
        <v>2</v>
      </c>
      <c r="AT91" s="3">
        <v>100699395</v>
      </c>
      <c r="AU91" s="2"/>
      <c r="AV91" s="9">
        <f>AW91*100/AT91</f>
        <v>3.9722185024051e-6</v>
      </c>
      <c r="AW91">
        <v>4</v>
      </c>
      <c r="AY91">
        <v>58</v>
      </c>
      <c r="AZ91">
        <f t="shared" si="7"/>
        <v>72</v>
      </c>
      <c r="BB91">
        <v>15</v>
      </c>
      <c r="BC91" t="s">
        <v>72</v>
      </c>
      <c r="BD91">
        <v>23</v>
      </c>
      <c r="BE91">
        <f>(BD91+BB91)/2</f>
        <v>19</v>
      </c>
      <c r="BF91">
        <v>86</v>
      </c>
    </row>
    <row r="92" spans="2:58">
      <c r="B92" t="s">
        <v>38</v>
      </c>
      <c r="C92">
        <v>0</v>
      </c>
      <c r="D92">
        <v>0</v>
      </c>
      <c r="E92">
        <v>1</v>
      </c>
      <c r="F92">
        <v>1</v>
      </c>
      <c r="H92">
        <v>87</v>
      </c>
      <c r="I92" t="s">
        <v>38</v>
      </c>
      <c r="J92">
        <v>0</v>
      </c>
      <c r="K92">
        <v>0</v>
      </c>
      <c r="L92">
        <v>1</v>
      </c>
      <c r="M92">
        <v>1</v>
      </c>
      <c r="N92">
        <f>86-87</f>
        <v>-1</v>
      </c>
      <c r="P92">
        <v>87</v>
      </c>
      <c r="Q92" t="s">
        <v>38</v>
      </c>
      <c r="R92">
        <v>0</v>
      </c>
      <c r="S92">
        <v>0</v>
      </c>
      <c r="T92">
        <v>1</v>
      </c>
      <c r="U92">
        <f t="shared" si="8"/>
        <v>1</v>
      </c>
      <c r="V92" t="s">
        <v>125</v>
      </c>
      <c r="W92" t="s">
        <v>4</v>
      </c>
      <c r="X92">
        <v>87</v>
      </c>
      <c r="Y92" t="s">
        <v>38</v>
      </c>
      <c r="Z92">
        <v>0</v>
      </c>
      <c r="AA92">
        <v>0</v>
      </c>
      <c r="AB92">
        <v>1</v>
      </c>
      <c r="AC92" s="6">
        <f t="shared" si="6"/>
        <v>1</v>
      </c>
      <c r="AG92" t="s">
        <v>38</v>
      </c>
      <c r="AH92">
        <v>0</v>
      </c>
      <c r="AI92">
        <v>0</v>
      </c>
      <c r="AJ92">
        <v>1</v>
      </c>
      <c r="AM92" s="2">
        <v>1</v>
      </c>
      <c r="AO92">
        <v>87</v>
      </c>
      <c r="AP92" t="s">
        <v>91</v>
      </c>
      <c r="AQ92">
        <v>0</v>
      </c>
      <c r="AR92">
        <v>3</v>
      </c>
      <c r="AS92">
        <v>2</v>
      </c>
      <c r="AT92" s="3">
        <v>127017224</v>
      </c>
      <c r="AU92" s="2"/>
      <c r="AV92" s="9">
        <f>AW92*100/AT92</f>
        <v>3.93647400135276e-6</v>
      </c>
      <c r="AW92">
        <v>5</v>
      </c>
      <c r="AY92">
        <v>49</v>
      </c>
      <c r="AZ92">
        <f t="shared" si="7"/>
        <v>68</v>
      </c>
      <c r="BB92">
        <v>29</v>
      </c>
      <c r="BC92" t="s">
        <v>36</v>
      </c>
      <c r="BD92">
        <v>4</v>
      </c>
      <c r="BE92">
        <f>(BD92+BB92)/2</f>
        <v>16.5</v>
      </c>
      <c r="BF92">
        <v>87</v>
      </c>
    </row>
    <row r="93" spans="2:58">
      <c r="B93" t="s">
        <v>97</v>
      </c>
      <c r="C93">
        <v>0</v>
      </c>
      <c r="D93">
        <v>0</v>
      </c>
      <c r="E93">
        <v>1</v>
      </c>
      <c r="F93">
        <v>1</v>
      </c>
      <c r="H93">
        <v>88</v>
      </c>
      <c r="I93" t="s">
        <v>97</v>
      </c>
      <c r="J93">
        <v>0</v>
      </c>
      <c r="K93">
        <v>0</v>
      </c>
      <c r="L93">
        <v>1</v>
      </c>
      <c r="M93">
        <v>1</v>
      </c>
      <c r="N93">
        <f>87-88</f>
        <v>-1</v>
      </c>
      <c r="P93">
        <v>88</v>
      </c>
      <c r="Q93" t="s">
        <v>97</v>
      </c>
      <c r="R93">
        <v>0</v>
      </c>
      <c r="S93">
        <v>0</v>
      </c>
      <c r="T93">
        <v>1</v>
      </c>
      <c r="U93">
        <f t="shared" si="8"/>
        <v>1</v>
      </c>
      <c r="V93" t="s">
        <v>125</v>
      </c>
      <c r="W93" t="s">
        <v>4</v>
      </c>
      <c r="X93">
        <v>88</v>
      </c>
      <c r="Y93" t="s">
        <v>97</v>
      </c>
      <c r="Z93">
        <v>0</v>
      </c>
      <c r="AA93">
        <v>0</v>
      </c>
      <c r="AB93">
        <v>1</v>
      </c>
      <c r="AC93" s="6">
        <f t="shared" si="6"/>
        <v>1</v>
      </c>
      <c r="AG93" t="s">
        <v>97</v>
      </c>
      <c r="AH93">
        <v>0</v>
      </c>
      <c r="AI93">
        <v>0</v>
      </c>
      <c r="AJ93">
        <v>1</v>
      </c>
      <c r="AM93" s="2">
        <v>1</v>
      </c>
      <c r="AO93">
        <v>88</v>
      </c>
      <c r="AP93" t="s">
        <v>64</v>
      </c>
      <c r="AQ93">
        <v>1</v>
      </c>
      <c r="AR93">
        <v>1</v>
      </c>
      <c r="AS93">
        <v>1</v>
      </c>
      <c r="AT93" s="3">
        <v>91508084</v>
      </c>
      <c r="AU93" s="2"/>
      <c r="AV93" s="9">
        <f>AW93*100/AT93</f>
        <v>3.27839887894495e-6</v>
      </c>
      <c r="AW93">
        <v>3</v>
      </c>
      <c r="AY93">
        <v>65</v>
      </c>
      <c r="AZ93">
        <f t="shared" si="7"/>
        <v>76.5</v>
      </c>
      <c r="BB93">
        <v>26</v>
      </c>
      <c r="BC93" t="s">
        <v>40</v>
      </c>
      <c r="BD93">
        <v>3</v>
      </c>
      <c r="BE93">
        <f>(BD93+BB93)/2</f>
        <v>14.5</v>
      </c>
      <c r="BF93">
        <v>88</v>
      </c>
    </row>
    <row r="94" spans="2:58">
      <c r="B94" t="s">
        <v>37</v>
      </c>
      <c r="C94">
        <v>0</v>
      </c>
      <c r="D94">
        <v>0</v>
      </c>
      <c r="E94">
        <v>1</v>
      </c>
      <c r="F94">
        <v>1</v>
      </c>
      <c r="H94">
        <v>89</v>
      </c>
      <c r="I94" t="s">
        <v>37</v>
      </c>
      <c r="J94">
        <v>0</v>
      </c>
      <c r="K94">
        <v>0</v>
      </c>
      <c r="L94">
        <v>1</v>
      </c>
      <c r="M94">
        <v>1</v>
      </c>
      <c r="N94">
        <f>88-89</f>
        <v>-1</v>
      </c>
      <c r="P94">
        <v>89</v>
      </c>
      <c r="Q94" t="s">
        <v>37</v>
      </c>
      <c r="R94">
        <v>0</v>
      </c>
      <c r="S94">
        <v>0</v>
      </c>
      <c r="T94">
        <v>1</v>
      </c>
      <c r="U94">
        <f t="shared" si="8"/>
        <v>1</v>
      </c>
      <c r="V94" t="s">
        <v>125</v>
      </c>
      <c r="W94" t="s">
        <v>4</v>
      </c>
      <c r="X94">
        <v>89</v>
      </c>
      <c r="Y94" t="s">
        <v>37</v>
      </c>
      <c r="Z94">
        <v>0</v>
      </c>
      <c r="AA94">
        <v>0</v>
      </c>
      <c r="AB94">
        <v>1</v>
      </c>
      <c r="AC94" s="6">
        <f t="shared" si="6"/>
        <v>1</v>
      </c>
      <c r="AG94" t="s">
        <v>37</v>
      </c>
      <c r="AH94">
        <v>0</v>
      </c>
      <c r="AI94">
        <v>0</v>
      </c>
      <c r="AJ94">
        <v>1</v>
      </c>
      <c r="AM94" s="2">
        <v>1</v>
      </c>
      <c r="AO94">
        <v>89</v>
      </c>
      <c r="AP94" t="s">
        <v>38</v>
      </c>
      <c r="AQ94">
        <v>0</v>
      </c>
      <c r="AR94">
        <v>0</v>
      </c>
      <c r="AS94">
        <v>1</v>
      </c>
      <c r="AT94" s="3">
        <v>31376670</v>
      </c>
      <c r="AU94" s="2"/>
      <c r="AV94" s="9">
        <f>AW94*100/AT94</f>
        <v>3.18708135694451e-6</v>
      </c>
      <c r="AW94">
        <v>1</v>
      </c>
      <c r="AY94">
        <v>91</v>
      </c>
      <c r="AZ94">
        <f t="shared" si="7"/>
        <v>90</v>
      </c>
      <c r="BB94">
        <v>11</v>
      </c>
      <c r="BC94" t="s">
        <v>63</v>
      </c>
      <c r="BD94">
        <v>14</v>
      </c>
      <c r="BE94">
        <f>(BD94+BB94)/2</f>
        <v>12.5</v>
      </c>
      <c r="BF94">
        <v>89</v>
      </c>
    </row>
    <row r="95" spans="2:58">
      <c r="B95" t="s">
        <v>60</v>
      </c>
      <c r="C95">
        <v>0</v>
      </c>
      <c r="D95">
        <v>0</v>
      </c>
      <c r="E95">
        <v>1</v>
      </c>
      <c r="F95">
        <v>1</v>
      </c>
      <c r="H95">
        <v>90</v>
      </c>
      <c r="I95" t="s">
        <v>60</v>
      </c>
      <c r="J95">
        <v>0</v>
      </c>
      <c r="K95">
        <v>0</v>
      </c>
      <c r="L95">
        <v>1</v>
      </c>
      <c r="M95">
        <v>1</v>
      </c>
      <c r="N95">
        <f>89-90</f>
        <v>-1</v>
      </c>
      <c r="P95">
        <v>90</v>
      </c>
      <c r="Q95" t="s">
        <v>60</v>
      </c>
      <c r="R95">
        <v>0</v>
      </c>
      <c r="S95">
        <v>0</v>
      </c>
      <c r="T95">
        <v>1</v>
      </c>
      <c r="U95">
        <f t="shared" si="8"/>
        <v>1</v>
      </c>
      <c r="V95" t="s">
        <v>125</v>
      </c>
      <c r="W95" t="s">
        <v>4</v>
      </c>
      <c r="X95">
        <v>90</v>
      </c>
      <c r="Y95" t="s">
        <v>60</v>
      </c>
      <c r="Z95">
        <v>0</v>
      </c>
      <c r="AA95">
        <v>0</v>
      </c>
      <c r="AB95">
        <v>1</v>
      </c>
      <c r="AC95" s="6">
        <f t="shared" si="6"/>
        <v>1</v>
      </c>
      <c r="AG95" t="s">
        <v>60</v>
      </c>
      <c r="AH95">
        <v>0</v>
      </c>
      <c r="AI95">
        <v>0</v>
      </c>
      <c r="AJ95">
        <v>1</v>
      </c>
      <c r="AM95" s="2">
        <v>1</v>
      </c>
      <c r="AO95">
        <v>90</v>
      </c>
      <c r="AP95" t="s">
        <v>56</v>
      </c>
      <c r="AQ95">
        <v>2</v>
      </c>
      <c r="AR95">
        <v>0</v>
      </c>
      <c r="AS95">
        <v>1</v>
      </c>
      <c r="AT95" s="3">
        <v>257563815</v>
      </c>
      <c r="AU95" s="2"/>
      <c r="AV95" s="9">
        <f>AW95*100/AT95</f>
        <v>1.16475988678767e-6</v>
      </c>
      <c r="AW95">
        <v>3</v>
      </c>
      <c r="AY95">
        <v>66</v>
      </c>
      <c r="AZ95">
        <f t="shared" si="7"/>
        <v>78</v>
      </c>
      <c r="BB95">
        <v>6</v>
      </c>
      <c r="BC95" t="s">
        <v>49</v>
      </c>
      <c r="BD95">
        <v>12</v>
      </c>
      <c r="BE95">
        <f>(BD95+BB95)/2</f>
        <v>9</v>
      </c>
      <c r="BF95">
        <v>90</v>
      </c>
    </row>
    <row r="96" spans="2:58">
      <c r="B96" t="s">
        <v>66</v>
      </c>
      <c r="C96">
        <v>0</v>
      </c>
      <c r="D96">
        <v>0</v>
      </c>
      <c r="E96">
        <v>1</v>
      </c>
      <c r="F96">
        <v>1</v>
      </c>
      <c r="H96">
        <v>91</v>
      </c>
      <c r="I96" t="s">
        <v>66</v>
      </c>
      <c r="J96">
        <v>0</v>
      </c>
      <c r="K96">
        <v>0</v>
      </c>
      <c r="L96">
        <v>1</v>
      </c>
      <c r="M96">
        <v>1</v>
      </c>
      <c r="N96">
        <f>90-91</f>
        <v>-1</v>
      </c>
      <c r="P96">
        <v>91</v>
      </c>
      <c r="Q96" t="s">
        <v>66</v>
      </c>
      <c r="R96">
        <v>0</v>
      </c>
      <c r="S96">
        <v>0</v>
      </c>
      <c r="T96">
        <v>1</v>
      </c>
      <c r="U96">
        <f t="shared" si="8"/>
        <v>1</v>
      </c>
      <c r="V96" t="s">
        <v>125</v>
      </c>
      <c r="W96" t="s">
        <v>4</v>
      </c>
      <c r="X96">
        <v>91</v>
      </c>
      <c r="Y96" t="s">
        <v>66</v>
      </c>
      <c r="Z96">
        <v>0</v>
      </c>
      <c r="AA96">
        <v>0</v>
      </c>
      <c r="AB96">
        <v>1</v>
      </c>
      <c r="AC96" s="6">
        <f t="shared" si="6"/>
        <v>1</v>
      </c>
      <c r="AG96" t="s">
        <v>66</v>
      </c>
      <c r="AH96">
        <v>0</v>
      </c>
      <c r="AI96">
        <v>0</v>
      </c>
      <c r="AJ96">
        <v>1</v>
      </c>
      <c r="AM96" s="2">
        <v>1</v>
      </c>
      <c r="AO96">
        <v>91</v>
      </c>
      <c r="AP96" t="s">
        <v>34</v>
      </c>
      <c r="AQ96">
        <v>1</v>
      </c>
      <c r="AR96">
        <v>0</v>
      </c>
      <c r="AS96">
        <v>0</v>
      </c>
      <c r="AT96" s="3">
        <v>188924874</v>
      </c>
      <c r="AU96" s="2"/>
      <c r="AV96" s="9">
        <f>AW96*100/AT96</f>
        <v>5.29310925992731e-7</v>
      </c>
      <c r="AW96">
        <v>1</v>
      </c>
      <c r="AY96">
        <v>92</v>
      </c>
      <c r="AZ96">
        <f t="shared" si="7"/>
        <v>91.5</v>
      </c>
      <c r="BB96">
        <v>10</v>
      </c>
      <c r="BC96" t="s">
        <v>46</v>
      </c>
      <c r="BD96">
        <v>8</v>
      </c>
      <c r="BE96">
        <f>(BD96+BB96)/2</f>
        <v>9</v>
      </c>
      <c r="BF96">
        <v>91</v>
      </c>
    </row>
    <row r="97" spans="2:58">
      <c r="B97" t="s">
        <v>45</v>
      </c>
      <c r="C97">
        <v>0</v>
      </c>
      <c r="D97">
        <v>0</v>
      </c>
      <c r="E97">
        <v>1</v>
      </c>
      <c r="F97">
        <v>1</v>
      </c>
      <c r="H97">
        <v>92</v>
      </c>
      <c r="I97" t="s">
        <v>45</v>
      </c>
      <c r="J97">
        <v>0</v>
      </c>
      <c r="K97">
        <v>0</v>
      </c>
      <c r="L97">
        <v>1</v>
      </c>
      <c r="M97">
        <v>1</v>
      </c>
      <c r="N97">
        <f>91-92</f>
        <v>-1</v>
      </c>
      <c r="P97">
        <v>92</v>
      </c>
      <c r="Q97" t="s">
        <v>45</v>
      </c>
      <c r="R97">
        <v>0</v>
      </c>
      <c r="S97">
        <v>0</v>
      </c>
      <c r="T97">
        <v>1</v>
      </c>
      <c r="U97">
        <f t="shared" si="8"/>
        <v>1</v>
      </c>
      <c r="V97" t="s">
        <v>125</v>
      </c>
      <c r="W97" t="s">
        <v>4</v>
      </c>
      <c r="X97">
        <v>92</v>
      </c>
      <c r="Y97" t="s">
        <v>45</v>
      </c>
      <c r="Z97">
        <v>0</v>
      </c>
      <c r="AA97">
        <v>0</v>
      </c>
      <c r="AB97">
        <v>1</v>
      </c>
      <c r="AC97" s="6">
        <f t="shared" si="6"/>
        <v>1</v>
      </c>
      <c r="AG97" t="s">
        <v>45</v>
      </c>
      <c r="AH97">
        <v>0</v>
      </c>
      <c r="AI97">
        <v>0</v>
      </c>
      <c r="AJ97">
        <v>1</v>
      </c>
      <c r="AM97" s="2">
        <v>1</v>
      </c>
      <c r="AO97">
        <v>92</v>
      </c>
      <c r="AP97" t="s">
        <v>94</v>
      </c>
      <c r="AQ97">
        <v>0</v>
      </c>
      <c r="AR97">
        <v>1</v>
      </c>
      <c r="AS97">
        <v>5</v>
      </c>
      <c r="AT97" s="3">
        <v>1311050527</v>
      </c>
      <c r="AU97" s="2"/>
      <c r="AV97" s="12">
        <f>AW97*100/AT97</f>
        <v>4.5764826575597e-7</v>
      </c>
      <c r="AW97">
        <v>6</v>
      </c>
      <c r="AY97">
        <v>43</v>
      </c>
      <c r="AZ97">
        <f t="shared" si="7"/>
        <v>67.5</v>
      </c>
      <c r="BB97">
        <v>8</v>
      </c>
      <c r="BC97" t="s">
        <v>43</v>
      </c>
      <c r="BD97">
        <v>5</v>
      </c>
      <c r="BE97">
        <f>(BD97+BB97)/2</f>
        <v>6.5</v>
      </c>
      <c r="BF97">
        <v>92</v>
      </c>
    </row>
    <row r="98" spans="1:48">
      <c r="A98" t="s">
        <v>126</v>
      </c>
      <c r="C98">
        <v>329</v>
      </c>
      <c r="D98">
        <v>330</v>
      </c>
      <c r="E98">
        <v>385</v>
      </c>
      <c r="F98">
        <v>1.044</v>
      </c>
      <c r="AF98" t="s">
        <v>126</v>
      </c>
      <c r="AH98">
        <v>329</v>
      </c>
      <c r="AI98">
        <v>330</v>
      </c>
      <c r="AJ98">
        <v>385</v>
      </c>
      <c r="AM98" s="2">
        <v>1.044</v>
      </c>
      <c r="AO98" t="s">
        <v>126</v>
      </c>
      <c r="AQ98">
        <v>329</v>
      </c>
      <c r="AR98">
        <v>330</v>
      </c>
      <c r="AS98">
        <v>385</v>
      </c>
      <c r="AV98" s="9"/>
    </row>
    <row r="101" ht="15" spans="1:42">
      <c r="A101" t="s">
        <v>127</v>
      </c>
      <c r="B101" s="10" t="s">
        <v>128</v>
      </c>
      <c r="G101" t="s">
        <v>4</v>
      </c>
      <c r="AF101" t="s">
        <v>127</v>
      </c>
      <c r="AG101" s="10" t="s">
        <v>128</v>
      </c>
      <c r="AO101" t="s">
        <v>127</v>
      </c>
      <c r="AP101" s="10" t="s">
        <v>128</v>
      </c>
    </row>
    <row r="102" ht="15" spans="2:42">
      <c r="B102" s="11" t="s">
        <v>129</v>
      </c>
      <c r="AG102" s="11" t="s">
        <v>129</v>
      </c>
      <c r="AP102" s="11" t="s">
        <v>129</v>
      </c>
    </row>
  </sheetData>
  <autoFilter xmlns:etc="http://www.wps.cn/officeDocument/2017/etCustomData" ref="H5:N98" etc:filterBottomFollowUsedRange="0">
    <sortState ref="H5:N98">
      <sortCondition ref="M5" descending="1"/>
    </sortState>
    <extLst/>
  </autoFilter>
  <sortState ref="BB6:BE97">
    <sortCondition ref="BE6:BE97" descending="1"/>
  </sortState>
  <conditionalFormatting sqref="AX49">
    <cfRule type="cellIs" dxfId="0" priority="17" operator="greaterThan">
      <formula>10</formula>
    </cfRule>
    <cfRule type="cellIs" dxfId="1" priority="16" operator="lessThan">
      <formula>0</formula>
    </cfRule>
    <cfRule type="cellIs" dxfId="2" priority="15" operator="greaterThan">
      <formula>20</formula>
    </cfRule>
  </conditionalFormatting>
  <conditionalFormatting sqref="N$1:N$1048576">
    <cfRule type="cellIs" dxfId="3" priority="29" operator="greaterThan">
      <formula>5</formula>
    </cfRule>
    <cfRule type="cellIs" dxfId="4" priority="28" operator="greaterThan">
      <formula>15</formula>
    </cfRule>
    <cfRule type="cellIs" dxfId="5" priority="27" operator="lessThan">
      <formula>0</formula>
    </cfRule>
  </conditionalFormatting>
  <conditionalFormatting sqref="V$1:V$1048576">
    <cfRule type="cellIs" dxfId="4" priority="25" operator="greaterThan">
      <formula>15</formula>
    </cfRule>
    <cfRule type="cellIs" dxfId="5" priority="24" operator="lessThan">
      <formula>0</formula>
    </cfRule>
    <cfRule type="cellIs" dxfId="3" priority="26" operator="greaterThan">
      <formula>5</formula>
    </cfRule>
  </conditionalFormatting>
  <conditionalFormatting sqref="AD$1:AD$1048576">
    <cfRule type="cellIs" dxfId="5" priority="23" operator="lessThan">
      <formula>0</formula>
    </cfRule>
    <cfRule type="cellIs" dxfId="4" priority="22" operator="greaterThan">
      <formula>5</formula>
    </cfRule>
  </conditionalFormatting>
  <conditionalFormatting sqref="AV$1:AV$1048576">
    <cfRule type="cellIs" dxfId="0" priority="21" operator="greaterThan">
      <formula>0.0001</formula>
    </cfRule>
  </conditionalFormatting>
  <conditionalFormatting sqref="AX1:AX48;AX50:AX1048576">
    <cfRule type="cellIs" dxfId="2" priority="18" operator="greaterThan">
      <formula>20</formula>
    </cfRule>
    <cfRule type="cellIs" dxfId="1" priority="19" operator="lessThan">
      <formula>0</formula>
    </cfRule>
    <cfRule type="cellIs" dxfId="0" priority="20" operator="greaterThan">
      <formula>10</formula>
    </cfRule>
  </conditionalFormatting>
  <hyperlinks>
    <hyperlink ref="B101" r:id="rId3" display="https://en.wikipedia.org/wiki/2024_Summer_Olympics_medal_table"/>
    <hyperlink ref="B102" r:id="rId4" display="https://en.wikipedia.org/wiki/List_of_2024_Summer_Olympics_medal_winners"/>
    <hyperlink ref="AG101" r:id="rId3" display="https://en.wikipedia.org/wiki/2024_Summer_Olympics_medal_table"/>
    <hyperlink ref="AG102" r:id="rId4" display="https://en.wikipedia.org/wiki/List_of_2024_Summer_Olympics_medal_winners"/>
    <hyperlink ref="AP101" r:id="rId3" display="https://en.wikipedia.org/wiki/2024_Summer_Olympics_medal_table"/>
    <hyperlink ref="AP102" r:id="rId4" display="https://en.wikipedia.org/wiki/List_of_2024_Summer_Olympics_medal_winners"/>
  </hyperlink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5"/>
  <sheetViews>
    <sheetView topLeftCell="A2" workbookViewId="0">
      <selection activeCell="C3" sqref="C3"/>
    </sheetView>
  </sheetViews>
  <sheetFormatPr defaultColWidth="9.14285714285714" defaultRowHeight="12.75" outlineLevelCol="3"/>
  <cols>
    <col min="1" max="1" width="29.7142857142857" customWidth="1"/>
    <col min="2" max="2" width="5.85714285714286" customWidth="1"/>
    <col min="3" max="3" width="11.7142857142857" customWidth="1"/>
    <col min="4" max="4" width="19.2857142857143" customWidth="1"/>
  </cols>
  <sheetData>
    <row r="1" spans="1:4">
      <c r="A1" t="s">
        <v>130</v>
      </c>
      <c r="B1" t="s">
        <v>131</v>
      </c>
      <c r="C1" t="s">
        <v>24</v>
      </c>
      <c r="D1" t="s">
        <v>132</v>
      </c>
    </row>
    <row r="2" spans="1:4">
      <c r="A2" t="s">
        <v>133</v>
      </c>
      <c r="B2" t="s">
        <v>134</v>
      </c>
      <c r="C2">
        <v>32526562</v>
      </c>
      <c r="D2" s="1">
        <v>594323081219966</v>
      </c>
    </row>
    <row r="3" spans="1:4">
      <c r="A3" t="s">
        <v>135</v>
      </c>
      <c r="B3" t="s">
        <v>136</v>
      </c>
      <c r="C3">
        <v>2889167</v>
      </c>
      <c r="D3" s="1">
        <v>394521758150914</v>
      </c>
    </row>
    <row r="4" spans="1:4">
      <c r="A4" t="s">
        <v>137</v>
      </c>
      <c r="B4" t="s">
        <v>138</v>
      </c>
      <c r="C4">
        <v>39666519</v>
      </c>
      <c r="D4" s="1">
        <v>420603123244958</v>
      </c>
    </row>
    <row r="5" spans="1:3">
      <c r="A5" t="s">
        <v>139</v>
      </c>
      <c r="B5" t="s">
        <v>140</v>
      </c>
      <c r="C5">
        <v>55538</v>
      </c>
    </row>
    <row r="6" spans="1:3">
      <c r="A6" t="s">
        <v>141</v>
      </c>
      <c r="B6" t="s">
        <v>142</v>
      </c>
      <c r="C6">
        <v>70473</v>
      </c>
    </row>
    <row r="7" spans="1:4">
      <c r="A7" t="s">
        <v>143</v>
      </c>
      <c r="B7" t="s">
        <v>144</v>
      </c>
      <c r="C7">
        <v>25021974</v>
      </c>
      <c r="D7" s="1">
        <v>410147215182964</v>
      </c>
    </row>
    <row r="8" spans="1:4">
      <c r="A8" t="s">
        <v>145</v>
      </c>
      <c r="B8" t="s">
        <v>146</v>
      </c>
      <c r="C8">
        <v>91818</v>
      </c>
      <c r="D8" s="1">
        <v>137147319616988</v>
      </c>
    </row>
    <row r="9" spans="1:4">
      <c r="A9" t="s">
        <v>147</v>
      </c>
      <c r="B9" t="s">
        <v>148</v>
      </c>
      <c r="C9">
        <v>43416755</v>
      </c>
      <c r="D9" s="1">
        <v>134318783398577</v>
      </c>
    </row>
    <row r="10" spans="1:4">
      <c r="A10" t="s">
        <v>149</v>
      </c>
      <c r="B10" t="s">
        <v>150</v>
      </c>
      <c r="C10">
        <v>3017712</v>
      </c>
      <c r="D10" s="1">
        <v>348912768956995</v>
      </c>
    </row>
    <row r="11" spans="1:3">
      <c r="A11" t="s">
        <v>151</v>
      </c>
      <c r="B11" t="s">
        <v>152</v>
      </c>
      <c r="C11">
        <v>103889</v>
      </c>
    </row>
    <row r="12" spans="1:4">
      <c r="A12" t="s">
        <v>153</v>
      </c>
      <c r="B12" t="s">
        <v>154</v>
      </c>
      <c r="C12">
        <v>23781169</v>
      </c>
      <c r="D12" s="1">
        <v>563109629933721</v>
      </c>
    </row>
    <row r="13" spans="1:4">
      <c r="A13" t="s">
        <v>155</v>
      </c>
      <c r="B13" t="s">
        <v>156</v>
      </c>
      <c r="C13">
        <v>8611088</v>
      </c>
      <c r="D13" s="1">
        <v>43774985173612</v>
      </c>
    </row>
    <row r="14" spans="1:4">
      <c r="A14" t="s">
        <v>157</v>
      </c>
      <c r="B14" t="s">
        <v>158</v>
      </c>
      <c r="C14">
        <v>9651349</v>
      </c>
      <c r="D14" s="1">
        <v>549634464026248</v>
      </c>
    </row>
    <row r="15" spans="1:4">
      <c r="A15" t="s">
        <v>159</v>
      </c>
      <c r="B15" t="s">
        <v>160</v>
      </c>
      <c r="C15">
        <v>388019</v>
      </c>
      <c r="D15" s="1">
        <v>228172308572518</v>
      </c>
    </row>
    <row r="16" spans="1:4">
      <c r="A16" t="s">
        <v>161</v>
      </c>
      <c r="B16" t="s">
        <v>162</v>
      </c>
      <c r="C16">
        <v>1377237</v>
      </c>
      <c r="D16" s="1">
        <v>226002140981035</v>
      </c>
    </row>
    <row r="17" spans="1:4">
      <c r="A17" t="s">
        <v>163</v>
      </c>
      <c r="B17" t="s">
        <v>164</v>
      </c>
      <c r="C17">
        <v>160995642</v>
      </c>
      <c r="D17" s="1">
        <v>121170153057661</v>
      </c>
    </row>
    <row r="18" spans="1:4">
      <c r="A18" t="s">
        <v>165</v>
      </c>
      <c r="B18" t="s">
        <v>166</v>
      </c>
      <c r="C18">
        <v>284215</v>
      </c>
      <c r="D18" s="1">
        <v>154293404640853</v>
      </c>
    </row>
    <row r="19" spans="1:4">
      <c r="A19" t="s">
        <v>167</v>
      </c>
      <c r="B19" t="s">
        <v>168</v>
      </c>
      <c r="C19">
        <v>9513000</v>
      </c>
      <c r="D19" s="1">
        <v>574045649479562</v>
      </c>
    </row>
    <row r="20" spans="1:4">
      <c r="A20" t="s">
        <v>169</v>
      </c>
      <c r="B20" t="s">
        <v>170</v>
      </c>
      <c r="C20">
        <v>11285721</v>
      </c>
      <c r="D20" s="1">
        <v>403240277657215</v>
      </c>
    </row>
    <row r="21" spans="1:4">
      <c r="A21" t="s">
        <v>171</v>
      </c>
      <c r="B21" t="s">
        <v>172</v>
      </c>
      <c r="C21">
        <v>359287</v>
      </c>
      <c r="D21" s="1">
        <v>487872126724745</v>
      </c>
    </row>
    <row r="22" spans="1:3">
      <c r="A22" t="s">
        <v>173</v>
      </c>
      <c r="B22" t="s">
        <v>174</v>
      </c>
      <c r="C22">
        <v>65235</v>
      </c>
    </row>
    <row r="23" spans="1:4">
      <c r="A23" t="s">
        <v>175</v>
      </c>
      <c r="B23" t="s">
        <v>176</v>
      </c>
      <c r="C23">
        <v>10879829</v>
      </c>
      <c r="D23" s="1">
        <v>762051205441965</v>
      </c>
    </row>
    <row r="24" spans="1:4">
      <c r="A24" t="s">
        <v>177</v>
      </c>
      <c r="B24" t="s">
        <v>178</v>
      </c>
      <c r="C24">
        <v>774830</v>
      </c>
      <c r="D24" s="1">
        <v>265599889161858</v>
      </c>
    </row>
    <row r="25" spans="1:4">
      <c r="A25" t="s">
        <v>179</v>
      </c>
      <c r="B25" t="s">
        <v>180</v>
      </c>
      <c r="C25">
        <v>10724705</v>
      </c>
      <c r="D25" s="1">
        <v>307679181060881</v>
      </c>
    </row>
    <row r="26" spans="1:4">
      <c r="A26" t="s">
        <v>181</v>
      </c>
      <c r="B26" t="s">
        <v>182</v>
      </c>
      <c r="C26">
        <v>3810416</v>
      </c>
      <c r="D26" s="1">
        <v>42493303131949</v>
      </c>
    </row>
    <row r="27" spans="1:4">
      <c r="A27" t="s">
        <v>183</v>
      </c>
      <c r="B27" t="s">
        <v>184</v>
      </c>
      <c r="C27">
        <v>2262485</v>
      </c>
      <c r="D27" s="1">
        <v>636013822018837</v>
      </c>
    </row>
    <row r="28" spans="1:4">
      <c r="A28" t="s">
        <v>185</v>
      </c>
      <c r="B28" t="s">
        <v>186</v>
      </c>
      <c r="C28">
        <v>207847528</v>
      </c>
      <c r="D28" s="1">
        <v>85385899749574</v>
      </c>
    </row>
    <row r="29" spans="1:3">
      <c r="A29" t="s">
        <v>187</v>
      </c>
      <c r="B29" t="s">
        <v>188</v>
      </c>
      <c r="C29">
        <v>30117</v>
      </c>
    </row>
    <row r="30" spans="1:4">
      <c r="A30" t="s">
        <v>189</v>
      </c>
      <c r="B30" t="s">
        <v>190</v>
      </c>
      <c r="C30">
        <v>423188</v>
      </c>
      <c r="D30" s="1">
        <v>305547296658073</v>
      </c>
    </row>
    <row r="31" spans="1:4">
      <c r="A31" t="s">
        <v>191</v>
      </c>
      <c r="B31" t="s">
        <v>192</v>
      </c>
      <c r="C31">
        <v>7177991</v>
      </c>
      <c r="D31" s="1">
        <v>699347735975728</v>
      </c>
    </row>
    <row r="32" spans="1:4">
      <c r="A32" t="s">
        <v>193</v>
      </c>
      <c r="B32" t="s">
        <v>194</v>
      </c>
      <c r="C32">
        <v>18105570</v>
      </c>
      <c r="D32" s="1">
        <v>589774414136617</v>
      </c>
    </row>
    <row r="33" spans="1:4">
      <c r="A33" t="s">
        <v>195</v>
      </c>
      <c r="B33" t="s">
        <v>196</v>
      </c>
      <c r="C33">
        <v>11178921</v>
      </c>
      <c r="D33" s="1">
        <v>277068309170914</v>
      </c>
    </row>
    <row r="34" spans="1:4">
      <c r="A34" t="s">
        <v>197</v>
      </c>
      <c r="B34" t="s">
        <v>198</v>
      </c>
      <c r="C34">
        <v>15577899</v>
      </c>
      <c r="D34" s="1">
        <v>11586899035244</v>
      </c>
    </row>
    <row r="35" spans="1:4">
      <c r="A35" t="s">
        <v>199</v>
      </c>
      <c r="B35" t="s">
        <v>200</v>
      </c>
      <c r="C35">
        <v>23344179</v>
      </c>
      <c r="D35" s="1">
        <v>121726067048427</v>
      </c>
    </row>
    <row r="36" spans="1:4">
      <c r="A36" t="s">
        <v>201</v>
      </c>
      <c r="B36" t="s">
        <v>202</v>
      </c>
      <c r="C36">
        <v>35851774</v>
      </c>
      <c r="D36" s="1">
        <v>43248529909341</v>
      </c>
    </row>
    <row r="37" spans="1:4">
      <c r="A37" t="s">
        <v>203</v>
      </c>
      <c r="B37" t="s">
        <v>204</v>
      </c>
      <c r="C37">
        <v>520502</v>
      </c>
      <c r="D37" s="1">
        <v>308017881445563</v>
      </c>
    </row>
    <row r="38" spans="1:3">
      <c r="A38" t="s">
        <v>205</v>
      </c>
      <c r="B38" t="s">
        <v>206</v>
      </c>
      <c r="C38">
        <v>59967</v>
      </c>
    </row>
    <row r="39" spans="1:4">
      <c r="A39" t="s">
        <v>207</v>
      </c>
      <c r="B39" t="s">
        <v>208</v>
      </c>
      <c r="C39">
        <v>4900274</v>
      </c>
      <c r="D39" s="1">
        <v>323201674024141</v>
      </c>
    </row>
    <row r="40" spans="1:4">
      <c r="A40" t="s">
        <v>209</v>
      </c>
      <c r="B40" t="s">
        <v>210</v>
      </c>
      <c r="C40">
        <v>14037472</v>
      </c>
      <c r="D40" s="1">
        <v>775695090525313</v>
      </c>
    </row>
    <row r="41" spans="1:4">
      <c r="A41" t="s">
        <v>211</v>
      </c>
      <c r="B41" t="s">
        <v>212</v>
      </c>
      <c r="C41">
        <v>17948141</v>
      </c>
      <c r="D41" s="1">
        <v>134162300390185</v>
      </c>
    </row>
    <row r="42" spans="1:4">
      <c r="A42" t="s">
        <v>213</v>
      </c>
      <c r="B42" t="s">
        <v>214</v>
      </c>
      <c r="C42">
        <v>1371220000</v>
      </c>
      <c r="D42" s="1">
        <v>802768381013907</v>
      </c>
    </row>
    <row r="43" spans="1:4">
      <c r="A43" t="s">
        <v>215</v>
      </c>
      <c r="B43" t="s">
        <v>216</v>
      </c>
      <c r="C43">
        <v>48228704</v>
      </c>
      <c r="D43" s="1">
        <v>605614771720405</v>
      </c>
    </row>
    <row r="44" spans="1:4">
      <c r="A44" t="s">
        <v>217</v>
      </c>
      <c r="B44" t="s">
        <v>218</v>
      </c>
      <c r="C44">
        <v>788474</v>
      </c>
      <c r="D44" s="1">
        <v>717448849960912</v>
      </c>
    </row>
    <row r="45" spans="1:4">
      <c r="A45" t="s">
        <v>219</v>
      </c>
      <c r="B45" t="s">
        <v>220</v>
      </c>
      <c r="C45">
        <v>4620330</v>
      </c>
      <c r="D45" s="1">
        <v>185119991555492</v>
      </c>
    </row>
    <row r="46" spans="1:4">
      <c r="A46" t="s">
        <v>221</v>
      </c>
      <c r="B46" t="s">
        <v>222</v>
      </c>
      <c r="C46">
        <v>77266814</v>
      </c>
      <c r="D46" s="1">
        <v>456052740548027</v>
      </c>
    </row>
    <row r="47" spans="1:2">
      <c r="A47" t="s">
        <v>223</v>
      </c>
      <c r="B47" t="s">
        <v>224</v>
      </c>
    </row>
    <row r="48" spans="1:4">
      <c r="A48" t="s">
        <v>225</v>
      </c>
      <c r="B48" t="s">
        <v>226</v>
      </c>
      <c r="C48">
        <v>4807850</v>
      </c>
      <c r="D48" s="1">
        <v>112600921598775</v>
      </c>
    </row>
    <row r="49" spans="1:4">
      <c r="A49" t="s">
        <v>227</v>
      </c>
      <c r="B49" t="s">
        <v>228</v>
      </c>
      <c r="C49">
        <v>22701556</v>
      </c>
      <c r="D49" s="1">
        <v>139898995768413</v>
      </c>
    </row>
    <row r="50" spans="1:4">
      <c r="A50" t="s">
        <v>229</v>
      </c>
      <c r="B50" t="s">
        <v>230</v>
      </c>
      <c r="C50">
        <v>4224404</v>
      </c>
      <c r="D50" s="1">
        <v>115358293558997</v>
      </c>
    </row>
    <row r="51" spans="1:3">
      <c r="A51" t="s">
        <v>231</v>
      </c>
      <c r="B51" t="s">
        <v>232</v>
      </c>
      <c r="C51">
        <v>11389562</v>
      </c>
    </row>
    <row r="52" spans="1:4">
      <c r="A52" t="s">
        <v>233</v>
      </c>
      <c r="B52" t="s">
        <v>234</v>
      </c>
      <c r="C52">
        <v>1165300</v>
      </c>
      <c r="D52" s="1">
        <v>232428400685313</v>
      </c>
    </row>
    <row r="53" spans="1:4">
      <c r="A53" t="s">
        <v>235</v>
      </c>
      <c r="B53" t="s">
        <v>236</v>
      </c>
      <c r="C53">
        <v>10551219</v>
      </c>
      <c r="D53" s="1">
        <v>175483382129701</v>
      </c>
    </row>
    <row r="54" spans="1:4">
      <c r="A54" t="s">
        <v>237</v>
      </c>
      <c r="B54" t="s">
        <v>238</v>
      </c>
      <c r="C54">
        <v>5676002</v>
      </c>
      <c r="D54" s="1">
        <v>519892934712354</v>
      </c>
    </row>
    <row r="55" spans="1:4">
      <c r="A55" t="s">
        <v>239</v>
      </c>
      <c r="B55" t="s">
        <v>240</v>
      </c>
      <c r="C55">
        <v>887861</v>
      </c>
      <c r="D55" s="1">
        <v>194512429310444</v>
      </c>
    </row>
    <row r="56" spans="1:4">
      <c r="A56" t="s">
        <v>241</v>
      </c>
      <c r="B56" t="s">
        <v>242</v>
      </c>
      <c r="C56">
        <v>72680</v>
      </c>
      <c r="D56" s="1">
        <v>711638639189547</v>
      </c>
    </row>
    <row r="57" spans="1:4">
      <c r="A57" t="s">
        <v>243</v>
      </c>
      <c r="B57" t="s">
        <v>244</v>
      </c>
      <c r="C57">
        <v>10528391</v>
      </c>
      <c r="D57" s="1">
        <v>64684734915433</v>
      </c>
    </row>
    <row r="58" spans="1:4">
      <c r="A58" t="s">
        <v>245</v>
      </c>
      <c r="B58" t="s">
        <v>246</v>
      </c>
      <c r="C58">
        <v>1245015</v>
      </c>
      <c r="D58" s="1">
        <v>115799295590816</v>
      </c>
    </row>
    <row r="59" spans="1:4">
      <c r="A59" t="s">
        <v>247</v>
      </c>
      <c r="B59" t="s">
        <v>248</v>
      </c>
      <c r="C59">
        <v>16144363</v>
      </c>
      <c r="D59" s="1">
        <v>620506414529951</v>
      </c>
    </row>
    <row r="60" spans="1:4">
      <c r="A60" t="s">
        <v>249</v>
      </c>
      <c r="B60" t="s">
        <v>250</v>
      </c>
      <c r="C60">
        <v>91508084</v>
      </c>
      <c r="D60" s="1">
        <v>361474676616271</v>
      </c>
    </row>
    <row r="61" spans="1:4">
      <c r="A61" t="s">
        <v>251</v>
      </c>
      <c r="B61" t="s">
        <v>252</v>
      </c>
      <c r="C61">
        <v>6126583</v>
      </c>
      <c r="D61" s="1">
        <v>421935032953932</v>
      </c>
    </row>
    <row r="62" spans="1:4">
      <c r="A62" t="s">
        <v>253</v>
      </c>
      <c r="B62" t="s">
        <v>254</v>
      </c>
      <c r="C62">
        <v>845060</v>
      </c>
      <c r="D62" s="1">
        <v>144395944478516</v>
      </c>
    </row>
    <row r="63" spans="1:2">
      <c r="A63" t="s">
        <v>255</v>
      </c>
      <c r="B63" t="s">
        <v>256</v>
      </c>
    </row>
    <row r="64" spans="1:4">
      <c r="A64" t="s">
        <v>257</v>
      </c>
      <c r="B64" t="s">
        <v>258</v>
      </c>
      <c r="C64">
        <v>1311998</v>
      </c>
      <c r="D64" s="1">
        <v>171185042003236</v>
      </c>
    </row>
    <row r="65" spans="1:4">
      <c r="A65" t="s">
        <v>259</v>
      </c>
      <c r="B65" t="s">
        <v>260</v>
      </c>
      <c r="C65">
        <v>99390750</v>
      </c>
      <c r="D65" s="1">
        <v>619169406475891</v>
      </c>
    </row>
    <row r="66" spans="1:4">
      <c r="A66" t="s">
        <v>261</v>
      </c>
      <c r="B66" t="s">
        <v>262</v>
      </c>
      <c r="C66">
        <v>892145</v>
      </c>
      <c r="D66" s="1">
        <v>496051995438419</v>
      </c>
    </row>
    <row r="67" spans="1:4">
      <c r="A67" t="s">
        <v>263</v>
      </c>
      <c r="B67" t="s">
        <v>264</v>
      </c>
      <c r="C67">
        <v>5482013</v>
      </c>
      <c r="D67" s="1">
        <v>423110362306446</v>
      </c>
    </row>
    <row r="68" spans="1:4">
      <c r="A68" t="s">
        <v>265</v>
      </c>
      <c r="B68" t="s">
        <v>266</v>
      </c>
      <c r="C68">
        <v>66808385</v>
      </c>
      <c r="D68" s="1">
        <v>362055681017036</v>
      </c>
    </row>
    <row r="69" spans="1:4">
      <c r="A69" t="s">
        <v>267</v>
      </c>
      <c r="B69" t="s">
        <v>268</v>
      </c>
      <c r="C69">
        <v>1725292</v>
      </c>
      <c r="D69" s="1">
        <v>82664456050624</v>
      </c>
    </row>
    <row r="70" spans="1:4">
      <c r="A70" t="s">
        <v>269</v>
      </c>
      <c r="B70" t="s">
        <v>270</v>
      </c>
      <c r="C70">
        <v>1990924</v>
      </c>
      <c r="D70" s="1">
        <v>471537195472347</v>
      </c>
    </row>
    <row r="71" spans="1:4">
      <c r="A71" t="s">
        <v>271</v>
      </c>
      <c r="B71" t="s">
        <v>272</v>
      </c>
      <c r="C71">
        <v>3679000</v>
      </c>
      <c r="D71" s="1">
        <v>379597330845042</v>
      </c>
    </row>
    <row r="72" spans="1:4">
      <c r="A72" t="s">
        <v>273</v>
      </c>
      <c r="B72" t="s">
        <v>274</v>
      </c>
      <c r="C72">
        <v>81413145</v>
      </c>
      <c r="D72" s="1">
        <v>413133139945434</v>
      </c>
    </row>
    <row r="73" spans="1:4">
      <c r="A73" t="s">
        <v>275</v>
      </c>
      <c r="B73" t="s">
        <v>276</v>
      </c>
      <c r="C73">
        <v>27409893</v>
      </c>
      <c r="D73" s="1">
        <v>136970112227585</v>
      </c>
    </row>
    <row r="74" spans="1:4">
      <c r="A74" t="s">
        <v>277</v>
      </c>
      <c r="B74" t="s">
        <v>278</v>
      </c>
      <c r="C74">
        <v>10823732</v>
      </c>
      <c r="D74" s="1">
        <v>180022305776688</v>
      </c>
    </row>
    <row r="75" spans="1:4">
      <c r="A75" t="s">
        <v>279</v>
      </c>
      <c r="B75" t="s">
        <v>280</v>
      </c>
      <c r="C75">
        <v>106825</v>
      </c>
      <c r="D75" s="1">
        <v>921202035173484</v>
      </c>
    </row>
    <row r="76" spans="1:3">
      <c r="A76" t="s">
        <v>281</v>
      </c>
      <c r="B76" t="s">
        <v>282</v>
      </c>
      <c r="C76">
        <v>169885</v>
      </c>
    </row>
    <row r="77" spans="1:4">
      <c r="A77" t="s">
        <v>283</v>
      </c>
      <c r="B77" t="s">
        <v>284</v>
      </c>
      <c r="C77">
        <v>16342897</v>
      </c>
      <c r="D77" s="1">
        <v>390347885604613</v>
      </c>
    </row>
    <row r="78" spans="1:4">
      <c r="A78" t="s">
        <v>285</v>
      </c>
      <c r="B78" t="s">
        <v>286</v>
      </c>
      <c r="C78">
        <v>12608590</v>
      </c>
      <c r="D78" s="1">
        <v>531320595188714</v>
      </c>
    </row>
    <row r="79" spans="1:4">
      <c r="A79" t="s">
        <v>287</v>
      </c>
      <c r="B79" t="s">
        <v>288</v>
      </c>
      <c r="C79">
        <v>1844325</v>
      </c>
      <c r="D79" s="1">
        <v>572988428543071</v>
      </c>
    </row>
    <row r="80" spans="1:4">
      <c r="A80" t="s">
        <v>289</v>
      </c>
      <c r="B80" t="s">
        <v>290</v>
      </c>
      <c r="C80">
        <v>767085</v>
      </c>
      <c r="D80" s="1">
        <v>412735101806198</v>
      </c>
    </row>
    <row r="81" spans="1:4">
      <c r="A81" t="s">
        <v>291</v>
      </c>
      <c r="B81" t="s">
        <v>292</v>
      </c>
      <c r="C81">
        <v>10711067</v>
      </c>
      <c r="D81" s="1">
        <v>818343297634549</v>
      </c>
    </row>
    <row r="82" spans="1:4">
      <c r="A82" t="s">
        <v>293</v>
      </c>
      <c r="B82" t="s">
        <v>294</v>
      </c>
      <c r="C82">
        <v>8075060</v>
      </c>
      <c r="D82" s="1">
        <v>252889354988523</v>
      </c>
    </row>
    <row r="83" spans="1:4">
      <c r="A83" t="s">
        <v>295</v>
      </c>
      <c r="B83" t="s">
        <v>296</v>
      </c>
      <c r="C83">
        <v>7305700</v>
      </c>
      <c r="D83" s="1">
        <v>423278399570345</v>
      </c>
    </row>
    <row r="84" spans="1:4">
      <c r="A84" t="s">
        <v>297</v>
      </c>
      <c r="B84" t="s">
        <v>298</v>
      </c>
      <c r="C84">
        <v>9844686</v>
      </c>
      <c r="D84" s="1">
        <v>123635434596539</v>
      </c>
    </row>
    <row r="85" spans="1:4">
      <c r="A85" t="s">
        <v>299</v>
      </c>
      <c r="B85" t="s">
        <v>300</v>
      </c>
      <c r="C85">
        <v>330823</v>
      </c>
      <c r="D85" s="1">
        <v>501733399156473</v>
      </c>
    </row>
    <row r="86" spans="1:4">
      <c r="A86" t="s">
        <v>301</v>
      </c>
      <c r="B86" t="s">
        <v>302</v>
      </c>
      <c r="C86">
        <v>1311050527</v>
      </c>
      <c r="D86" s="1">
        <v>159825903421916</v>
      </c>
    </row>
    <row r="87" spans="1:4">
      <c r="A87" t="s">
        <v>303</v>
      </c>
      <c r="B87" t="s">
        <v>304</v>
      </c>
      <c r="C87">
        <v>257563815</v>
      </c>
      <c r="D87" s="1">
        <v>334648703949478</v>
      </c>
    </row>
    <row r="88" spans="1:3">
      <c r="A88" t="s">
        <v>305</v>
      </c>
      <c r="B88" t="s">
        <v>306</v>
      </c>
      <c r="C88">
        <v>79109272</v>
      </c>
    </row>
    <row r="89" spans="1:4">
      <c r="A89" t="s">
        <v>307</v>
      </c>
      <c r="B89" t="s">
        <v>308</v>
      </c>
      <c r="C89">
        <v>36423395</v>
      </c>
      <c r="D89" s="1">
        <v>494376038832056</v>
      </c>
    </row>
    <row r="90" spans="1:4">
      <c r="A90" t="s">
        <v>309</v>
      </c>
      <c r="B90" t="s">
        <v>310</v>
      </c>
      <c r="C90">
        <v>4640703</v>
      </c>
      <c r="D90" s="1">
        <v>61133672427322</v>
      </c>
    </row>
    <row r="91" spans="1:4">
      <c r="A91" t="s">
        <v>311</v>
      </c>
      <c r="B91" t="s">
        <v>312</v>
      </c>
      <c r="C91">
        <v>8380400</v>
      </c>
      <c r="D91" s="1">
        <v>357280934951515</v>
      </c>
    </row>
    <row r="92" spans="1:4">
      <c r="A92" t="s">
        <v>313</v>
      </c>
      <c r="B92" t="s">
        <v>314</v>
      </c>
      <c r="C92">
        <v>60802085</v>
      </c>
      <c r="D92" s="1">
        <v>299578043154372</v>
      </c>
    </row>
    <row r="93" spans="1:4">
      <c r="A93" t="s">
        <v>315</v>
      </c>
      <c r="B93" t="s">
        <v>316</v>
      </c>
      <c r="C93">
        <v>2725941</v>
      </c>
      <c r="D93" s="1">
        <v>523202458271187</v>
      </c>
    </row>
    <row r="94" spans="1:4">
      <c r="A94" t="s">
        <v>317</v>
      </c>
      <c r="B94" t="s">
        <v>318</v>
      </c>
      <c r="C94">
        <v>126958472</v>
      </c>
      <c r="D94" s="1">
        <v>324772151449234</v>
      </c>
    </row>
    <row r="95" spans="1:4">
      <c r="A95" t="s">
        <v>319</v>
      </c>
      <c r="B95" t="s">
        <v>320</v>
      </c>
      <c r="C95">
        <v>7594547</v>
      </c>
      <c r="D95" s="1">
        <v>494004583574111</v>
      </c>
    </row>
    <row r="96" spans="1:4">
      <c r="A96" t="s">
        <v>321</v>
      </c>
      <c r="B96" t="s">
        <v>322</v>
      </c>
      <c r="C96">
        <v>17544126</v>
      </c>
      <c r="D96" s="1">
        <v>105099810699442</v>
      </c>
    </row>
    <row r="97" spans="1:4">
      <c r="A97" t="s">
        <v>323</v>
      </c>
      <c r="B97" t="s">
        <v>324</v>
      </c>
      <c r="C97">
        <v>46050302</v>
      </c>
      <c r="D97" s="1">
        <v>137671282894881</v>
      </c>
    </row>
    <row r="98" spans="1:3">
      <c r="A98" t="s">
        <v>325</v>
      </c>
      <c r="B98" t="s">
        <v>326</v>
      </c>
      <c r="C98">
        <v>25155317</v>
      </c>
    </row>
    <row r="99" spans="1:4">
      <c r="A99" t="s">
        <v>327</v>
      </c>
      <c r="B99" t="s">
        <v>328</v>
      </c>
      <c r="C99">
        <v>50617045</v>
      </c>
      <c r="D99" s="1">
        <v>272215240509661</v>
      </c>
    </row>
    <row r="100" spans="1:4">
      <c r="A100" t="s">
        <v>329</v>
      </c>
      <c r="B100" t="s">
        <v>330</v>
      </c>
      <c r="C100">
        <v>3892115</v>
      </c>
      <c r="D100" s="1">
        <v>293005755750333</v>
      </c>
    </row>
    <row r="101" spans="1:4">
      <c r="A101" t="s">
        <v>331</v>
      </c>
      <c r="B101" t="s">
        <v>332</v>
      </c>
      <c r="C101">
        <v>5957000</v>
      </c>
      <c r="D101" s="1">
        <v>11032153515202</v>
      </c>
    </row>
    <row r="102" spans="1:4">
      <c r="A102" t="s">
        <v>333</v>
      </c>
      <c r="B102" t="s">
        <v>334</v>
      </c>
      <c r="C102">
        <v>6802023</v>
      </c>
      <c r="D102" s="1">
        <v>181844137293236</v>
      </c>
    </row>
    <row r="103" spans="1:4">
      <c r="A103" t="s">
        <v>335</v>
      </c>
      <c r="B103" t="s">
        <v>336</v>
      </c>
      <c r="C103">
        <v>1978440</v>
      </c>
      <c r="D103" s="1">
        <v>136485475564772</v>
      </c>
    </row>
    <row r="104" spans="1:4">
      <c r="A104" t="s">
        <v>337</v>
      </c>
      <c r="B104" t="s">
        <v>338</v>
      </c>
      <c r="C104">
        <v>5850743</v>
      </c>
      <c r="D104" s="1">
        <v>804764508557496</v>
      </c>
    </row>
    <row r="105" spans="1:4">
      <c r="A105" t="s">
        <v>339</v>
      </c>
      <c r="B105" t="s">
        <v>340</v>
      </c>
      <c r="C105">
        <v>2135022</v>
      </c>
      <c r="D105" s="1">
        <v>106698562625017</v>
      </c>
    </row>
    <row r="106" spans="1:4">
      <c r="A106" t="s">
        <v>341</v>
      </c>
      <c r="B106" t="s">
        <v>342</v>
      </c>
      <c r="C106">
        <v>4503438</v>
      </c>
      <c r="D106" s="1">
        <v>455873934536237</v>
      </c>
    </row>
    <row r="107" spans="1:3">
      <c r="A107" t="s">
        <v>343</v>
      </c>
      <c r="B107" t="s">
        <v>344</v>
      </c>
      <c r="C107">
        <v>6278438</v>
      </c>
    </row>
    <row r="108" spans="1:3">
      <c r="A108" t="s">
        <v>345</v>
      </c>
      <c r="B108" t="s">
        <v>346</v>
      </c>
      <c r="C108">
        <v>37531</v>
      </c>
    </row>
    <row r="109" spans="1:4">
      <c r="A109" t="s">
        <v>347</v>
      </c>
      <c r="B109" t="s">
        <v>348</v>
      </c>
      <c r="C109">
        <v>2910199</v>
      </c>
      <c r="D109" s="1">
        <v>141470493792403</v>
      </c>
    </row>
    <row r="110" spans="1:4">
      <c r="A110" t="s">
        <v>349</v>
      </c>
      <c r="B110" t="s">
        <v>350</v>
      </c>
      <c r="C110">
        <v>569676</v>
      </c>
      <c r="D110" s="1">
        <v>101449968168042</v>
      </c>
    </row>
    <row r="111" spans="1:4">
      <c r="A111" t="s">
        <v>351</v>
      </c>
      <c r="B111" t="s">
        <v>352</v>
      </c>
      <c r="C111">
        <v>2078453</v>
      </c>
      <c r="D111" s="1">
        <v>48526578476699</v>
      </c>
    </row>
    <row r="112" spans="1:4">
      <c r="A112" t="s">
        <v>353</v>
      </c>
      <c r="B112" t="s">
        <v>354</v>
      </c>
      <c r="C112">
        <v>24235390</v>
      </c>
      <c r="D112" s="1">
        <v>401836006029745</v>
      </c>
    </row>
    <row r="113" spans="1:4">
      <c r="A113" t="s">
        <v>355</v>
      </c>
      <c r="B113" t="s">
        <v>356</v>
      </c>
      <c r="C113">
        <v>17215232</v>
      </c>
      <c r="D113" s="1">
        <v>371985747810344</v>
      </c>
    </row>
    <row r="114" spans="1:4">
      <c r="A114" t="s">
        <v>357</v>
      </c>
      <c r="B114" t="s">
        <v>358</v>
      </c>
      <c r="C114">
        <v>30331007</v>
      </c>
      <c r="D114" s="1">
        <v>976832686011881</v>
      </c>
    </row>
    <row r="115" spans="1:4">
      <c r="A115" t="s">
        <v>359</v>
      </c>
      <c r="B115" t="s">
        <v>360</v>
      </c>
      <c r="C115">
        <v>409163</v>
      </c>
      <c r="D115" s="1">
        <v>839578519750383</v>
      </c>
    </row>
    <row r="116" spans="1:4">
      <c r="A116" t="s">
        <v>361</v>
      </c>
      <c r="B116" t="s">
        <v>362</v>
      </c>
      <c r="C116">
        <v>17599694</v>
      </c>
      <c r="D116" s="1">
        <v>724256283193304</v>
      </c>
    </row>
    <row r="117" spans="1:4">
      <c r="A117" t="s">
        <v>363</v>
      </c>
      <c r="B117" t="s">
        <v>364</v>
      </c>
      <c r="C117">
        <v>431333</v>
      </c>
      <c r="D117" s="1">
        <v>225961817742659</v>
      </c>
    </row>
    <row r="118" spans="1:3">
      <c r="A118" t="s">
        <v>365</v>
      </c>
      <c r="B118" t="s">
        <v>366</v>
      </c>
      <c r="C118">
        <v>4067564</v>
      </c>
    </row>
    <row r="119" spans="1:4">
      <c r="A119" t="s">
        <v>367</v>
      </c>
      <c r="B119" t="s">
        <v>368</v>
      </c>
      <c r="C119">
        <v>1262605</v>
      </c>
      <c r="D119" s="1">
        <v>925211072429051</v>
      </c>
    </row>
    <row r="120" spans="1:4">
      <c r="A120" t="s">
        <v>369</v>
      </c>
      <c r="B120" t="s">
        <v>370</v>
      </c>
      <c r="C120">
        <v>127017224</v>
      </c>
      <c r="D120" s="1">
        <v>900502426497766</v>
      </c>
    </row>
    <row r="121" spans="1:4">
      <c r="A121" t="s">
        <v>371</v>
      </c>
      <c r="B121" t="s">
        <v>372</v>
      </c>
      <c r="C121">
        <v>104460</v>
      </c>
      <c r="D121" s="1">
        <v>301523166762397</v>
      </c>
    </row>
    <row r="122" spans="1:4">
      <c r="A122" t="s">
        <v>373</v>
      </c>
      <c r="B122" t="s">
        <v>374</v>
      </c>
      <c r="C122">
        <v>3554150</v>
      </c>
      <c r="D122" s="1">
        <v>184806180430428</v>
      </c>
    </row>
    <row r="123" spans="1:3">
      <c r="A123" t="s">
        <v>375</v>
      </c>
      <c r="B123" t="s">
        <v>376</v>
      </c>
      <c r="C123">
        <v>37731</v>
      </c>
    </row>
    <row r="124" spans="1:4">
      <c r="A124" t="s">
        <v>377</v>
      </c>
      <c r="B124" t="s">
        <v>378</v>
      </c>
      <c r="C124">
        <v>2959134</v>
      </c>
      <c r="D124" s="1">
        <v>396782938559498</v>
      </c>
    </row>
    <row r="125" spans="1:4">
      <c r="A125" t="s">
        <v>379</v>
      </c>
      <c r="B125" t="s">
        <v>380</v>
      </c>
      <c r="C125">
        <v>34377511</v>
      </c>
      <c r="D125" s="1">
        <v>287820134215919</v>
      </c>
    </row>
    <row r="126" spans="1:4">
      <c r="A126" t="s">
        <v>381</v>
      </c>
      <c r="B126" t="s">
        <v>382</v>
      </c>
      <c r="C126">
        <v>27977863</v>
      </c>
      <c r="D126" s="1">
        <v>529242556068943</v>
      </c>
    </row>
    <row r="127" spans="1:4">
      <c r="A127" t="s">
        <v>383</v>
      </c>
      <c r="B127" t="s">
        <v>384</v>
      </c>
      <c r="C127">
        <v>53897154</v>
      </c>
      <c r="D127" s="1">
        <v>116148815791087</v>
      </c>
    </row>
    <row r="128" spans="1:4">
      <c r="A128" t="s">
        <v>385</v>
      </c>
      <c r="B128" t="s">
        <v>386</v>
      </c>
      <c r="C128">
        <v>2458830</v>
      </c>
      <c r="D128" s="1">
        <v>467356724769495</v>
      </c>
    </row>
    <row r="129" spans="1:4">
      <c r="A129" t="s">
        <v>387</v>
      </c>
      <c r="B129" t="s">
        <v>388</v>
      </c>
      <c r="C129">
        <v>10222</v>
      </c>
      <c r="D129" s="1">
        <v>982754428148233</v>
      </c>
    </row>
    <row r="130" spans="1:4">
      <c r="A130" t="s">
        <v>389</v>
      </c>
      <c r="B130" t="s">
        <v>390</v>
      </c>
      <c r="C130">
        <v>28513700</v>
      </c>
      <c r="D130" s="1">
        <v>743322965726435</v>
      </c>
    </row>
    <row r="131" spans="1:4">
      <c r="A131" t="s">
        <v>391</v>
      </c>
      <c r="B131" t="s">
        <v>392</v>
      </c>
      <c r="C131">
        <v>16936520</v>
      </c>
      <c r="D131" s="1">
        <v>44299768085383</v>
      </c>
    </row>
    <row r="132" spans="1:2">
      <c r="A132" t="s">
        <v>393</v>
      </c>
      <c r="B132" t="s">
        <v>394</v>
      </c>
    </row>
    <row r="133" spans="1:4">
      <c r="A133" t="s">
        <v>395</v>
      </c>
      <c r="B133" t="s">
        <v>396</v>
      </c>
      <c r="C133">
        <v>4595700</v>
      </c>
      <c r="D133" s="1">
        <v>378079672760442</v>
      </c>
    </row>
    <row r="134" spans="1:4">
      <c r="A134" t="s">
        <v>397</v>
      </c>
      <c r="B134" t="s">
        <v>398</v>
      </c>
      <c r="C134">
        <v>6082032</v>
      </c>
      <c r="D134" s="1">
        <v>208689500277099</v>
      </c>
    </row>
    <row r="135" spans="1:4">
      <c r="A135" t="s">
        <v>399</v>
      </c>
      <c r="B135" t="s">
        <v>400</v>
      </c>
      <c r="C135">
        <v>19899120</v>
      </c>
      <c r="D135" s="1">
        <v>358958152040005</v>
      </c>
    </row>
    <row r="136" spans="1:4">
      <c r="A136" t="s">
        <v>401</v>
      </c>
      <c r="B136" t="s">
        <v>402</v>
      </c>
      <c r="C136">
        <v>182201962</v>
      </c>
      <c r="D136" s="1">
        <v>26402907388575</v>
      </c>
    </row>
    <row r="137" spans="1:4">
      <c r="A137" t="s">
        <v>403</v>
      </c>
      <c r="B137" t="s">
        <v>404</v>
      </c>
      <c r="C137">
        <v>5195921</v>
      </c>
      <c r="D137" s="1">
        <v>744003697770928</v>
      </c>
    </row>
    <row r="138" spans="1:4">
      <c r="A138" t="s">
        <v>405</v>
      </c>
      <c r="B138" t="s">
        <v>406</v>
      </c>
      <c r="C138">
        <v>4490541</v>
      </c>
      <c r="D138" s="1">
        <v>155506762514328</v>
      </c>
    </row>
    <row r="139" spans="1:4">
      <c r="A139" t="s">
        <v>407</v>
      </c>
      <c r="B139" t="s">
        <v>408</v>
      </c>
      <c r="C139">
        <v>188924874</v>
      </c>
      <c r="D139" s="1">
        <v>143469666504969</v>
      </c>
    </row>
    <row r="140" spans="1:4">
      <c r="A140" t="s">
        <v>409</v>
      </c>
      <c r="B140" t="s">
        <v>410</v>
      </c>
      <c r="C140">
        <v>21291</v>
      </c>
      <c r="D140" s="1">
        <v>13498661406228</v>
      </c>
    </row>
    <row r="141" spans="1:2">
      <c r="A141" t="s">
        <v>411</v>
      </c>
      <c r="B141" t="s">
        <v>412</v>
      </c>
    </row>
    <row r="142" spans="1:4">
      <c r="A142" t="s">
        <v>413</v>
      </c>
      <c r="B142" t="s">
        <v>414</v>
      </c>
      <c r="C142">
        <v>3929141</v>
      </c>
      <c r="D142" s="1">
        <v>132681137549335</v>
      </c>
    </row>
    <row r="143" spans="1:3">
      <c r="A143" t="s">
        <v>415</v>
      </c>
      <c r="B143" t="s">
        <v>416</v>
      </c>
      <c r="C143">
        <v>7619321</v>
      </c>
    </row>
    <row r="144" spans="1:4">
      <c r="A144" t="s">
        <v>417</v>
      </c>
      <c r="B144" t="s">
        <v>418</v>
      </c>
      <c r="C144">
        <v>6639123</v>
      </c>
      <c r="D144" s="1">
        <v>408095144785437</v>
      </c>
    </row>
    <row r="145" spans="1:4">
      <c r="A145" t="s">
        <v>419</v>
      </c>
      <c r="B145" t="s">
        <v>420</v>
      </c>
      <c r="C145">
        <v>31376670</v>
      </c>
      <c r="D145" s="1">
        <v>602712585529551</v>
      </c>
    </row>
    <row r="146" spans="1:4">
      <c r="A146" t="s">
        <v>421</v>
      </c>
      <c r="B146" t="s">
        <v>422</v>
      </c>
      <c r="C146">
        <v>100699395</v>
      </c>
      <c r="D146" s="1">
        <v>290420208191528</v>
      </c>
    </row>
    <row r="147" spans="1:4">
      <c r="A147" t="s">
        <v>423</v>
      </c>
      <c r="B147" t="s">
        <v>424</v>
      </c>
      <c r="C147">
        <v>37999494</v>
      </c>
      <c r="D147" s="1">
        <v>125545475536313</v>
      </c>
    </row>
    <row r="148" spans="1:4">
      <c r="A148" t="s">
        <v>425</v>
      </c>
      <c r="B148" t="s">
        <v>426</v>
      </c>
      <c r="C148">
        <v>10348648</v>
      </c>
      <c r="D148" s="1">
        <v>192221500764153</v>
      </c>
    </row>
    <row r="149" spans="1:3">
      <c r="A149" t="s">
        <v>427</v>
      </c>
      <c r="B149" t="s">
        <v>428</v>
      </c>
      <c r="C149">
        <v>3474182</v>
      </c>
    </row>
    <row r="150" spans="1:4">
      <c r="A150" t="s">
        <v>429</v>
      </c>
      <c r="B150" t="s">
        <v>430</v>
      </c>
      <c r="C150">
        <v>2235355</v>
      </c>
      <c r="D150" s="1">
        <v>736533944346574</v>
      </c>
    </row>
    <row r="151" spans="1:4">
      <c r="A151" t="s">
        <v>431</v>
      </c>
      <c r="B151" t="s">
        <v>432</v>
      </c>
      <c r="C151">
        <v>19832389</v>
      </c>
      <c r="D151" s="1">
        <v>897292251840971</v>
      </c>
    </row>
    <row r="152" spans="1:4">
      <c r="A152" t="s">
        <v>433</v>
      </c>
      <c r="B152" t="s">
        <v>434</v>
      </c>
      <c r="C152">
        <v>144096812</v>
      </c>
      <c r="D152" s="1">
        <v>909258053606884</v>
      </c>
    </row>
    <row r="153" spans="1:4">
      <c r="A153" t="s">
        <v>435</v>
      </c>
      <c r="B153" t="s">
        <v>436</v>
      </c>
      <c r="C153">
        <v>11609666</v>
      </c>
      <c r="D153" s="1">
        <v>69734822808289</v>
      </c>
    </row>
    <row r="154" spans="1:4">
      <c r="A154" t="s">
        <v>437</v>
      </c>
      <c r="B154" t="s">
        <v>438</v>
      </c>
      <c r="C154">
        <v>55572</v>
      </c>
      <c r="D154" s="1">
        <v>157719455041308</v>
      </c>
    </row>
    <row r="155" spans="1:4">
      <c r="A155" t="s">
        <v>439</v>
      </c>
      <c r="B155" t="s">
        <v>440</v>
      </c>
      <c r="C155">
        <v>184999</v>
      </c>
      <c r="D155" s="1">
        <v>773591048440102</v>
      </c>
    </row>
    <row r="156" spans="1:4">
      <c r="A156" t="s">
        <v>441</v>
      </c>
      <c r="B156" t="s">
        <v>442</v>
      </c>
      <c r="C156">
        <v>109462</v>
      </c>
      <c r="D156" s="1">
        <v>673917483286945</v>
      </c>
    </row>
    <row r="157" spans="1:4">
      <c r="A157" t="s">
        <v>443</v>
      </c>
      <c r="B157" t="s">
        <v>444</v>
      </c>
      <c r="C157">
        <v>193228</v>
      </c>
      <c r="D157" s="1">
        <v>393854884570316</v>
      </c>
    </row>
    <row r="158" spans="1:3">
      <c r="A158" t="s">
        <v>445</v>
      </c>
      <c r="B158" t="s">
        <v>446</v>
      </c>
      <c r="C158">
        <v>31781</v>
      </c>
    </row>
    <row r="159" spans="1:4">
      <c r="A159" t="s">
        <v>447</v>
      </c>
      <c r="B159" t="s">
        <v>448</v>
      </c>
      <c r="C159">
        <v>190344</v>
      </c>
      <c r="D159" s="1">
        <v>166906326801326</v>
      </c>
    </row>
    <row r="160" spans="1:4">
      <c r="A160" t="s">
        <v>449</v>
      </c>
      <c r="B160" t="s">
        <v>450</v>
      </c>
      <c r="C160">
        <v>31540372</v>
      </c>
      <c r="D160" s="1">
        <v>204817453220484</v>
      </c>
    </row>
    <row r="161" spans="1:4">
      <c r="A161" t="s">
        <v>451</v>
      </c>
      <c r="B161" t="s">
        <v>452</v>
      </c>
      <c r="C161">
        <v>15129273</v>
      </c>
      <c r="D161" s="1">
        <v>899579879484977</v>
      </c>
    </row>
    <row r="162" spans="1:4">
      <c r="A162" t="s">
        <v>453</v>
      </c>
      <c r="B162" t="s">
        <v>454</v>
      </c>
      <c r="C162">
        <v>7098247</v>
      </c>
      <c r="D162" s="1">
        <v>523514220696525</v>
      </c>
    </row>
    <row r="163" spans="1:4">
      <c r="A163" t="s">
        <v>455</v>
      </c>
      <c r="B163" t="s">
        <v>456</v>
      </c>
      <c r="C163">
        <v>92900</v>
      </c>
      <c r="D163" s="1">
        <v>1547601944443</v>
      </c>
    </row>
    <row r="164" spans="1:4">
      <c r="A164" t="s">
        <v>457</v>
      </c>
      <c r="B164" t="s">
        <v>458</v>
      </c>
      <c r="C164">
        <v>6453184</v>
      </c>
      <c r="D164" s="1">
        <v>653131815940648</v>
      </c>
    </row>
    <row r="165" spans="1:4">
      <c r="A165" t="s">
        <v>459</v>
      </c>
      <c r="B165" t="s">
        <v>460</v>
      </c>
      <c r="C165">
        <v>5535002</v>
      </c>
      <c r="D165" s="1">
        <v>528887446717529</v>
      </c>
    </row>
    <row r="166" spans="1:4">
      <c r="A166" t="s">
        <v>461</v>
      </c>
      <c r="B166" t="s">
        <v>462</v>
      </c>
      <c r="C166">
        <v>5424050</v>
      </c>
      <c r="D166" s="1">
        <v>160882775872723</v>
      </c>
    </row>
    <row r="167" spans="1:4">
      <c r="A167" t="s">
        <v>463</v>
      </c>
      <c r="B167" t="s">
        <v>464</v>
      </c>
      <c r="C167">
        <v>2063768</v>
      </c>
      <c r="D167" s="1">
        <v>207265398863708</v>
      </c>
    </row>
    <row r="168" spans="1:4">
      <c r="A168" t="s">
        <v>465</v>
      </c>
      <c r="B168" t="s">
        <v>466</v>
      </c>
      <c r="C168">
        <v>583591</v>
      </c>
      <c r="D168" s="1">
        <v>193485629287353</v>
      </c>
    </row>
    <row r="169" spans="1:4">
      <c r="A169" t="s">
        <v>467</v>
      </c>
      <c r="B169" t="s">
        <v>468</v>
      </c>
      <c r="C169">
        <v>10787104</v>
      </c>
      <c r="D169" s="1">
        <v>549266976567576</v>
      </c>
    </row>
    <row r="170" spans="1:4">
      <c r="A170" t="s">
        <v>469</v>
      </c>
      <c r="B170" t="s">
        <v>470</v>
      </c>
      <c r="C170">
        <v>54956920</v>
      </c>
      <c r="D170" s="1">
        <v>572397335690212</v>
      </c>
    </row>
    <row r="171" spans="1:4">
      <c r="A171" t="s">
        <v>471</v>
      </c>
      <c r="B171" t="s">
        <v>472</v>
      </c>
      <c r="C171">
        <v>46418269</v>
      </c>
      <c r="D171" s="1">
        <v>258315823052954</v>
      </c>
    </row>
    <row r="172" spans="1:4">
      <c r="A172" t="s">
        <v>473</v>
      </c>
      <c r="B172" t="s">
        <v>474</v>
      </c>
      <c r="C172">
        <v>20966000</v>
      </c>
      <c r="D172" s="1">
        <v>392617439589454</v>
      </c>
    </row>
    <row r="173" spans="1:4">
      <c r="A173" t="s">
        <v>475</v>
      </c>
      <c r="B173" t="s">
        <v>476</v>
      </c>
      <c r="C173">
        <v>40234882</v>
      </c>
      <c r="D173" s="1">
        <v>241472360102858</v>
      </c>
    </row>
    <row r="174" spans="1:4">
      <c r="A174" t="s">
        <v>477</v>
      </c>
      <c r="B174" t="s">
        <v>478</v>
      </c>
      <c r="C174">
        <v>542975</v>
      </c>
      <c r="D174" s="1">
        <v>948531924429496</v>
      </c>
    </row>
    <row r="175" spans="1:4">
      <c r="A175" t="s">
        <v>479</v>
      </c>
      <c r="B175" t="s">
        <v>480</v>
      </c>
      <c r="C175">
        <v>1286970</v>
      </c>
      <c r="D175" s="1">
        <v>320014301756487</v>
      </c>
    </row>
    <row r="176" spans="1:4">
      <c r="A176" t="s">
        <v>481</v>
      </c>
      <c r="B176" t="s">
        <v>482</v>
      </c>
      <c r="C176">
        <v>9798871</v>
      </c>
      <c r="D176" s="1">
        <v>505796736486777</v>
      </c>
    </row>
    <row r="177" spans="1:4">
      <c r="A177" t="s">
        <v>483</v>
      </c>
      <c r="B177" t="s">
        <v>484</v>
      </c>
      <c r="C177">
        <v>8286976</v>
      </c>
      <c r="D177" s="1">
        <v>809450792194742</v>
      </c>
    </row>
    <row r="178" spans="1:3">
      <c r="A178" t="s">
        <v>485</v>
      </c>
      <c r="B178" t="s">
        <v>486</v>
      </c>
      <c r="C178">
        <v>18502413</v>
      </c>
    </row>
    <row r="179" spans="1:2">
      <c r="A179" t="s">
        <v>487</v>
      </c>
      <c r="B179" t="s">
        <v>488</v>
      </c>
    </row>
    <row r="180" spans="1:4">
      <c r="A180" t="s">
        <v>489</v>
      </c>
      <c r="B180" t="s">
        <v>490</v>
      </c>
      <c r="C180">
        <v>8481855</v>
      </c>
      <c r="D180" s="1">
        <v>92591188767081</v>
      </c>
    </row>
    <row r="181" spans="1:4">
      <c r="A181" t="s">
        <v>491</v>
      </c>
      <c r="B181" t="s">
        <v>492</v>
      </c>
      <c r="C181">
        <v>53470420</v>
      </c>
      <c r="D181" s="1">
        <v>87897510552608</v>
      </c>
    </row>
    <row r="182" spans="1:4">
      <c r="A182" t="s">
        <v>493</v>
      </c>
      <c r="B182" t="s">
        <v>494</v>
      </c>
      <c r="C182">
        <v>67959359</v>
      </c>
      <c r="D182" s="1">
        <v>581476976382355</v>
      </c>
    </row>
    <row r="183" spans="1:4">
      <c r="A183" t="s">
        <v>495</v>
      </c>
      <c r="B183" t="s">
        <v>496</v>
      </c>
      <c r="C183">
        <v>7304578</v>
      </c>
      <c r="D183" s="1">
        <v>559635876661945</v>
      </c>
    </row>
    <row r="184" spans="1:4">
      <c r="A184" t="s">
        <v>497</v>
      </c>
      <c r="B184" t="s">
        <v>498</v>
      </c>
      <c r="C184">
        <v>106170</v>
      </c>
      <c r="D184" s="1">
        <v>409854392925825</v>
      </c>
    </row>
    <row r="185" spans="1:4">
      <c r="A185" t="s">
        <v>499</v>
      </c>
      <c r="B185" t="s">
        <v>500</v>
      </c>
      <c r="C185">
        <v>1360088</v>
      </c>
      <c r="D185" s="1">
        <v>17321884675056</v>
      </c>
    </row>
    <row r="186" spans="1:4">
      <c r="A186" t="s">
        <v>501</v>
      </c>
      <c r="B186" t="s">
        <v>502</v>
      </c>
      <c r="C186">
        <v>11107800</v>
      </c>
      <c r="D186" s="1">
        <v>387251208364171</v>
      </c>
    </row>
    <row r="187" spans="1:4">
      <c r="A187" t="s">
        <v>503</v>
      </c>
      <c r="B187" t="s">
        <v>504</v>
      </c>
      <c r="C187">
        <v>78665830</v>
      </c>
      <c r="D187" s="1">
        <v>912568758972936</v>
      </c>
    </row>
    <row r="188" spans="1:4">
      <c r="A188" t="s">
        <v>505</v>
      </c>
      <c r="B188" t="s">
        <v>506</v>
      </c>
      <c r="C188">
        <v>5373502</v>
      </c>
      <c r="D188" s="1">
        <v>667247754417351</v>
      </c>
    </row>
    <row r="189" spans="1:4">
      <c r="A189" t="s">
        <v>507</v>
      </c>
      <c r="B189" t="s">
        <v>508</v>
      </c>
      <c r="C189">
        <v>39032383</v>
      </c>
      <c r="D189" s="1">
        <v>705292569535068</v>
      </c>
    </row>
    <row r="190" spans="1:4">
      <c r="A190" t="s">
        <v>509</v>
      </c>
      <c r="B190" t="s">
        <v>510</v>
      </c>
      <c r="C190">
        <v>45198200</v>
      </c>
      <c r="D190" s="1">
        <v>211495471628444</v>
      </c>
    </row>
    <row r="191" spans="1:4">
      <c r="A191" t="s">
        <v>511</v>
      </c>
      <c r="B191" t="s">
        <v>512</v>
      </c>
      <c r="C191">
        <v>9156963</v>
      </c>
      <c r="D191" s="1">
        <v>404387629344394</v>
      </c>
    </row>
    <row r="192" spans="1:4">
      <c r="A192" t="s">
        <v>513</v>
      </c>
      <c r="B192" t="s">
        <v>514</v>
      </c>
      <c r="C192">
        <v>65138232</v>
      </c>
      <c r="D192" s="1">
        <v>438759696143686</v>
      </c>
    </row>
    <row r="193" spans="1:4">
      <c r="A193" t="s">
        <v>515</v>
      </c>
      <c r="B193" t="s">
        <v>516</v>
      </c>
      <c r="C193">
        <v>321418820</v>
      </c>
      <c r="D193" s="1">
        <v>561157184261955</v>
      </c>
    </row>
    <row r="194" spans="1:4">
      <c r="A194" t="s">
        <v>517</v>
      </c>
      <c r="B194" t="s">
        <v>518</v>
      </c>
      <c r="C194">
        <v>3431555</v>
      </c>
      <c r="D194" s="1">
        <v>155739009191818</v>
      </c>
    </row>
    <row r="195" spans="1:4">
      <c r="A195" t="s">
        <v>519</v>
      </c>
      <c r="B195" t="s">
        <v>520</v>
      </c>
      <c r="C195">
        <v>31299500</v>
      </c>
      <c r="D195" s="1">
        <v>213207036847857</v>
      </c>
    </row>
    <row r="196" spans="1:4">
      <c r="A196" t="s">
        <v>521</v>
      </c>
      <c r="B196" t="s">
        <v>522</v>
      </c>
      <c r="C196">
        <v>264652</v>
      </c>
      <c r="D196" s="1">
        <v>280531464353567</v>
      </c>
    </row>
    <row r="197" spans="1:3">
      <c r="A197" t="s">
        <v>523</v>
      </c>
      <c r="B197" t="s">
        <v>524</v>
      </c>
      <c r="C197">
        <v>31108083</v>
      </c>
    </row>
    <row r="198" spans="1:4">
      <c r="A198" t="s">
        <v>525</v>
      </c>
      <c r="B198" t="s">
        <v>526</v>
      </c>
      <c r="C198">
        <v>91703800</v>
      </c>
      <c r="D198" s="1">
        <v>211113802366815</v>
      </c>
    </row>
    <row r="199" spans="1:3">
      <c r="A199" t="s">
        <v>527</v>
      </c>
      <c r="B199" t="s">
        <v>528</v>
      </c>
      <c r="C199">
        <v>103574</v>
      </c>
    </row>
    <row r="200" spans="1:4">
      <c r="A200" t="s">
        <v>529</v>
      </c>
      <c r="B200" t="s">
        <v>530</v>
      </c>
      <c r="C200">
        <v>26832215</v>
      </c>
      <c r="D200" s="1">
        <v>14062916511457</v>
      </c>
    </row>
    <row r="201" spans="1:4">
      <c r="A201" t="s">
        <v>531</v>
      </c>
      <c r="B201" t="s">
        <v>532</v>
      </c>
      <c r="C201">
        <v>16211767</v>
      </c>
      <c r="D201" s="1">
        <v>130487901447726</v>
      </c>
    </row>
    <row r="202" spans="1:4">
      <c r="A202" t="s">
        <v>533</v>
      </c>
      <c r="B202" t="s">
        <v>534</v>
      </c>
      <c r="C202">
        <v>15602751</v>
      </c>
      <c r="D202" s="1">
        <v>924143819253412</v>
      </c>
    </row>
    <row r="205" spans="1:1">
      <c r="A205" t="s">
        <v>535</v>
      </c>
    </row>
  </sheetData>
  <hyperlinks>
    <hyperlink ref="A205" r:id="rId1" display="Olympic Sports and Medals, 1896-2014 (kaggle.com)" tooltip="https://www.kaggle.com/datasets/the-guardian/olympic-games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Planilha2</vt:lpstr>
      <vt:lpstr>Pop+GDP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SIC-pc</dc:creator>
  <cp:lastModifiedBy>SIC-pc</cp:lastModifiedBy>
  <dcterms:created xsi:type="dcterms:W3CDTF">2024-08-20T16:24:00Z</dcterms:created>
  <dcterms:modified xsi:type="dcterms:W3CDTF">2024-08-22T20:24:33Z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FE26DF8F7B7D49F0B298D04CF1295E2D_11</vt:lpwstr>
  </property>
  <property fmtid="{D5CDD505-2E9C-101B-9397-08002B2CF9AE}" pid="3" name="KSOProductBuildVer">
    <vt:lpwstr>1046-12.2.0.17562</vt:lpwstr>
  </property>
</Properties>
</file>